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jw\Documents\Horst2020\AMU\Energieberatung\"/>
    </mc:Choice>
  </mc:AlternateContent>
  <xr:revisionPtr revIDLastSave="0" documentId="13_ncr:1_{5F5425CD-F3F1-4920-B5F7-823E304600B4}" xr6:coauthVersionLast="47" xr6:coauthVersionMax="47" xr10:uidLastSave="{00000000-0000-0000-0000-000000000000}"/>
  <bookViews>
    <workbookView xWindow="20370" yWindow="-120" windowWidth="29040" windowHeight="16440" xr2:uid="{11706E2D-EC88-4312-99F6-AF4A6B7CB39B}"/>
  </bookViews>
  <sheets>
    <sheet name="Eingaben" sheetId="9" r:id="rId1"/>
    <sheet name="Invest und Kosten" sheetId="5" r:id="rId2"/>
    <sheet name="Ergebnisse" sheetId="10" r:id="rId3"/>
    <sheet name="Simulation" sheetId="7" r:id="rId4"/>
    <sheet name="Wärmepumpe" sheetId="6" r:id="rId5"/>
    <sheet name="Konstanten" sheetId="8" r:id="rId6"/>
    <sheet name="Tabelle1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9" l="1"/>
  <c r="K14" i="11"/>
  <c r="J14" i="11"/>
  <c r="I14" i="11"/>
  <c r="H14" i="11"/>
  <c r="G14" i="11"/>
  <c r="F14" i="11"/>
  <c r="E14" i="11"/>
  <c r="D14" i="11"/>
  <c r="C14" i="11"/>
  <c r="D13" i="11"/>
  <c r="K13" i="11"/>
  <c r="J13" i="11"/>
  <c r="I13" i="11"/>
  <c r="H13" i="11"/>
  <c r="G13" i="11"/>
  <c r="F13" i="11"/>
  <c r="E13" i="11"/>
  <c r="C13" i="11"/>
  <c r="C12" i="11"/>
  <c r="C11" i="11"/>
  <c r="D11" i="11"/>
  <c r="E11" i="11" s="1"/>
  <c r="F11" i="11" s="1"/>
  <c r="G11" i="11" s="1"/>
  <c r="H11" i="11" s="1"/>
  <c r="I11" i="11" s="1"/>
  <c r="J11" i="11" s="1"/>
  <c r="K11" i="11" s="1"/>
  <c r="D12" i="11"/>
  <c r="E12" i="11" s="1"/>
  <c r="F12" i="11" s="1"/>
  <c r="G12" i="11" s="1"/>
  <c r="H12" i="11" s="1"/>
  <c r="I12" i="11" s="1"/>
  <c r="J12" i="11" s="1"/>
  <c r="K12" i="11" s="1"/>
  <c r="D6" i="11"/>
  <c r="E6" i="11" s="1"/>
  <c r="F6" i="11" s="1"/>
  <c r="G6" i="11" s="1"/>
  <c r="H6" i="11" s="1"/>
  <c r="I6" i="11" s="1"/>
  <c r="J6" i="11" s="1"/>
  <c r="K6" i="11" s="1"/>
  <c r="C5" i="11"/>
  <c r="D5" i="11" s="1"/>
  <c r="E5" i="11" s="1"/>
  <c r="F5" i="11" s="1"/>
  <c r="G5" i="11" s="1"/>
  <c r="H5" i="11" s="1"/>
  <c r="I5" i="11" s="1"/>
  <c r="J5" i="11" s="1"/>
  <c r="K5" i="11" s="1"/>
  <c r="C6" i="11"/>
  <c r="C7" i="11"/>
  <c r="B1" i="11"/>
  <c r="K7" i="11"/>
  <c r="J7" i="11"/>
  <c r="I7" i="11"/>
  <c r="H7" i="11"/>
  <c r="G7" i="11"/>
  <c r="F7" i="11"/>
  <c r="E7" i="11"/>
  <c r="D7" i="11"/>
  <c r="J41" i="5"/>
  <c r="H38" i="5"/>
  <c r="H37" i="5"/>
  <c r="I38" i="5"/>
  <c r="I37" i="5"/>
  <c r="E42" i="5"/>
  <c r="I36" i="5"/>
  <c r="H36" i="5"/>
  <c r="G38" i="5"/>
  <c r="G37" i="5"/>
  <c r="G36" i="5"/>
  <c r="F43" i="5"/>
  <c r="F39" i="5"/>
  <c r="C39" i="5"/>
  <c r="D38" i="5"/>
  <c r="D37" i="5"/>
  <c r="D36" i="5"/>
  <c r="E38" i="5"/>
  <c r="E37" i="5"/>
  <c r="C37" i="5"/>
  <c r="C38" i="5"/>
  <c r="N20" i="9"/>
  <c r="M20" i="9"/>
  <c r="L20" i="9"/>
  <c r="K20" i="9"/>
  <c r="C14" i="9" l="1"/>
  <c r="C12" i="9"/>
  <c r="C13" i="9" s="1"/>
  <c r="E14" i="9"/>
  <c r="E13" i="9"/>
  <c r="C21" i="9"/>
  <c r="C6" i="5"/>
  <c r="P21" i="9"/>
  <c r="L21" i="6"/>
  <c r="K21" i="6"/>
  <c r="L20" i="6"/>
  <c r="K20" i="6"/>
  <c r="L19" i="6"/>
  <c r="K19" i="6"/>
  <c r="L18" i="6"/>
  <c r="K18" i="6"/>
  <c r="J20" i="9"/>
  <c r="I20" i="9"/>
  <c r="L18" i="9"/>
  <c r="L21" i="9" s="1"/>
  <c r="K18" i="9"/>
  <c r="K21" i="9" s="1"/>
  <c r="J18" i="9"/>
  <c r="J21" i="9" s="1"/>
  <c r="I18" i="9"/>
  <c r="I21" i="9" s="1"/>
  <c r="L10" i="6"/>
  <c r="K10" i="6"/>
  <c r="J9" i="6"/>
  <c r="J8" i="6"/>
  <c r="I9" i="6"/>
  <c r="I8" i="6"/>
  <c r="L7" i="6"/>
  <c r="K7" i="6"/>
  <c r="L6" i="6"/>
  <c r="K6" i="6"/>
  <c r="L5" i="6"/>
  <c r="K5" i="6"/>
  <c r="C9" i="9"/>
  <c r="B10" i="10"/>
  <c r="B9" i="10"/>
  <c r="F19" i="9"/>
  <c r="K10" i="9"/>
  <c r="I10" i="9" s="1"/>
  <c r="J10" i="9"/>
  <c r="H10" i="9"/>
  <c r="K9" i="9"/>
  <c r="J9" i="9"/>
  <c r="I9" i="9"/>
  <c r="H9" i="9"/>
  <c r="K8" i="9"/>
  <c r="J8" i="9"/>
  <c r="I8" i="9"/>
  <c r="H8" i="9"/>
  <c r="M18" i="9" l="1"/>
  <c r="N18" i="9" s="1"/>
  <c r="N21" i="9" s="1"/>
  <c r="M21" i="9"/>
  <c r="I23" i="9"/>
  <c r="G6" i="5" s="1"/>
  <c r="H55" i="7" l="1"/>
  <c r="I56" i="7" s="1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J55" i="7" l="1"/>
  <c r="J56" i="7"/>
  <c r="I55" i="7"/>
  <c r="C14" i="7"/>
  <c r="F52" i="7" l="1"/>
  <c r="N37" i="7" l="1"/>
  <c r="C9" i="7" l="1"/>
  <c r="AD42" i="5"/>
  <c r="AD39" i="5"/>
  <c r="AD32" i="5"/>
  <c r="AD30" i="5"/>
  <c r="AD29" i="5"/>
  <c r="AD28" i="5"/>
  <c r="AD18" i="5"/>
  <c r="AD17" i="5"/>
  <c r="AD16" i="5"/>
  <c r="AD15" i="5"/>
  <c r="AD14" i="5"/>
  <c r="AD13" i="5"/>
  <c r="AD12" i="5"/>
  <c r="AD11" i="5"/>
  <c r="AD10" i="5"/>
  <c r="AD9" i="5"/>
  <c r="AD8" i="5"/>
  <c r="AD7" i="5"/>
  <c r="AD5" i="5"/>
  <c r="T42" i="5"/>
  <c r="T39" i="5"/>
  <c r="T32" i="5"/>
  <c r="T31" i="5"/>
  <c r="AD31" i="5" s="1"/>
  <c r="T30" i="5"/>
  <c r="T29" i="5"/>
  <c r="T28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5" i="5"/>
  <c r="T4" i="5"/>
  <c r="AD4" i="5" s="1"/>
  <c r="J38" i="5"/>
  <c r="AD38" i="5" s="1"/>
  <c r="J33" i="5"/>
  <c r="J49" i="5" s="1"/>
  <c r="J54" i="5" s="1"/>
  <c r="S31" i="5"/>
  <c r="AC31" i="5" s="1"/>
  <c r="R31" i="5"/>
  <c r="AB31" i="5" s="1"/>
  <c r="Q31" i="5"/>
  <c r="AA31" i="5" s="1"/>
  <c r="P31" i="5"/>
  <c r="Z31" i="5" s="1"/>
  <c r="O31" i="5"/>
  <c r="Y31" i="5" s="1"/>
  <c r="N31" i="5"/>
  <c r="X31" i="5" s="1"/>
  <c r="M31" i="5"/>
  <c r="W31" i="5" s="1"/>
  <c r="J37" i="5"/>
  <c r="J40" i="5" l="1"/>
  <c r="AD40" i="5" s="1"/>
  <c r="M17" i="7"/>
  <c r="M23" i="7" s="1"/>
  <c r="B17" i="7"/>
  <c r="D17" i="7"/>
  <c r="F17" i="7"/>
  <c r="H17" i="7"/>
  <c r="J17" i="7"/>
  <c r="L17" i="7"/>
  <c r="C17" i="7"/>
  <c r="E17" i="7"/>
  <c r="G17" i="7"/>
  <c r="I17" i="7"/>
  <c r="K17" i="7"/>
  <c r="T38" i="5"/>
  <c r="AD33" i="5"/>
  <c r="AD49" i="5" s="1"/>
  <c r="AD54" i="5" s="1"/>
  <c r="AD37" i="5"/>
  <c r="T37" i="5"/>
  <c r="J6" i="5"/>
  <c r="R18" i="5"/>
  <c r="Q18" i="5"/>
  <c r="R17" i="5"/>
  <c r="Q17" i="5"/>
  <c r="R16" i="5"/>
  <c r="Q16" i="5"/>
  <c r="R15" i="5"/>
  <c r="Q15" i="5"/>
  <c r="R14" i="5"/>
  <c r="Q14" i="5"/>
  <c r="R13" i="5"/>
  <c r="Q13" i="5"/>
  <c r="R12" i="5"/>
  <c r="Q12" i="5"/>
  <c r="R11" i="5"/>
  <c r="Q11" i="5"/>
  <c r="R10" i="5"/>
  <c r="Q10" i="5"/>
  <c r="R9" i="5"/>
  <c r="Q9" i="5"/>
  <c r="R8" i="5"/>
  <c r="Q8" i="5"/>
  <c r="R7" i="5"/>
  <c r="Q7" i="5"/>
  <c r="R5" i="5"/>
  <c r="Q5" i="5"/>
  <c r="C10" i="7"/>
  <c r="L18" i="7" s="1"/>
  <c r="Q6" i="5"/>
  <c r="T41" i="5" l="1"/>
  <c r="T40" i="5"/>
  <c r="M25" i="7"/>
  <c r="M26" i="7"/>
  <c r="I24" i="7"/>
  <c r="E24" i="7"/>
  <c r="L24" i="7"/>
  <c r="L27" i="7"/>
  <c r="H24" i="7"/>
  <c r="D24" i="7"/>
  <c r="K24" i="7"/>
  <c r="G24" i="7"/>
  <c r="C24" i="7"/>
  <c r="J24" i="7"/>
  <c r="F24" i="7"/>
  <c r="B24" i="7"/>
  <c r="B27" i="7"/>
  <c r="M24" i="7"/>
  <c r="M27" i="7"/>
  <c r="L28" i="7"/>
  <c r="B31" i="7"/>
  <c r="L31" i="7"/>
  <c r="M31" i="7"/>
  <c r="I23" i="7"/>
  <c r="I25" i="7"/>
  <c r="E23" i="7"/>
  <c r="E25" i="7"/>
  <c r="L26" i="7"/>
  <c r="L23" i="7"/>
  <c r="L25" i="7"/>
  <c r="H23" i="7"/>
  <c r="H25" i="7"/>
  <c r="D23" i="7"/>
  <c r="D25" i="7"/>
  <c r="K23" i="7"/>
  <c r="K25" i="7"/>
  <c r="G23" i="7"/>
  <c r="G25" i="7"/>
  <c r="C23" i="7"/>
  <c r="C25" i="7"/>
  <c r="J23" i="7"/>
  <c r="J25" i="7"/>
  <c r="F23" i="7"/>
  <c r="F25" i="7"/>
  <c r="B23" i="7"/>
  <c r="B25" i="7"/>
  <c r="B26" i="7"/>
  <c r="H18" i="7"/>
  <c r="H31" i="7" s="1"/>
  <c r="D18" i="7"/>
  <c r="D28" i="7" s="1"/>
  <c r="K18" i="7"/>
  <c r="K31" i="7" s="1"/>
  <c r="G18" i="7"/>
  <c r="G27" i="7" s="1"/>
  <c r="C18" i="7"/>
  <c r="C31" i="7" s="1"/>
  <c r="J18" i="7"/>
  <c r="J27" i="7" s="1"/>
  <c r="F18" i="7"/>
  <c r="F28" i="7" s="1"/>
  <c r="B18" i="7"/>
  <c r="B29" i="7" s="1"/>
  <c r="M18" i="7"/>
  <c r="M29" i="7" s="1"/>
  <c r="I18" i="7"/>
  <c r="I26" i="7" s="1"/>
  <c r="E18" i="7"/>
  <c r="E26" i="7" s="1"/>
  <c r="C11" i="7"/>
  <c r="C13" i="7" s="1"/>
  <c r="N17" i="7"/>
  <c r="N25" i="7" s="1"/>
  <c r="J43" i="5"/>
  <c r="J50" i="5" s="1"/>
  <c r="J55" i="5" s="1"/>
  <c r="J20" i="5"/>
  <c r="J21" i="5" s="1"/>
  <c r="J22" i="5" s="1"/>
  <c r="J23" i="5" s="1"/>
  <c r="AD6" i="5"/>
  <c r="AD20" i="5" s="1"/>
  <c r="AD21" i="5" s="1"/>
  <c r="AD22" i="5" s="1"/>
  <c r="T6" i="5"/>
  <c r="T20" i="5" s="1"/>
  <c r="AD23" i="5"/>
  <c r="AD24" i="5" s="1"/>
  <c r="AD48" i="5" s="1"/>
  <c r="AD53" i="5" s="1"/>
  <c r="D6" i="5"/>
  <c r="D20" i="5" s="1"/>
  <c r="H6" i="5"/>
  <c r="R6" i="5" s="1"/>
  <c r="R20" i="5" s="1"/>
  <c r="R21" i="5" s="1"/>
  <c r="I6" i="5"/>
  <c r="AC6" i="5" s="1"/>
  <c r="AC42" i="5"/>
  <c r="AB42" i="5"/>
  <c r="AA42" i="5"/>
  <c r="Z42" i="5"/>
  <c r="X42" i="5"/>
  <c r="W42" i="5"/>
  <c r="Y41" i="5"/>
  <c r="X41" i="5"/>
  <c r="W41" i="5"/>
  <c r="Z40" i="5"/>
  <c r="Y40" i="5"/>
  <c r="W40" i="5"/>
  <c r="AC39" i="5"/>
  <c r="Y39" i="5"/>
  <c r="X39" i="5"/>
  <c r="S42" i="5"/>
  <c r="R42" i="5"/>
  <c r="Q42" i="5"/>
  <c r="P42" i="5"/>
  <c r="N42" i="5"/>
  <c r="M42" i="5"/>
  <c r="O41" i="5"/>
  <c r="N41" i="5"/>
  <c r="M41" i="5"/>
  <c r="P40" i="5"/>
  <c r="O40" i="5"/>
  <c r="M40" i="5"/>
  <c r="S39" i="5"/>
  <c r="O39" i="5"/>
  <c r="N39" i="5"/>
  <c r="AC32" i="5"/>
  <c r="AB32" i="5"/>
  <c r="AA32" i="5"/>
  <c r="Z32" i="5"/>
  <c r="Y32" i="5"/>
  <c r="X32" i="5"/>
  <c r="W32" i="5"/>
  <c r="AC30" i="5"/>
  <c r="AB30" i="5"/>
  <c r="AA30" i="5"/>
  <c r="Z30" i="5"/>
  <c r="Y30" i="5"/>
  <c r="X30" i="5"/>
  <c r="W30" i="5"/>
  <c r="AC29" i="5"/>
  <c r="AB29" i="5"/>
  <c r="AA29" i="5"/>
  <c r="Z29" i="5"/>
  <c r="Y29" i="5"/>
  <c r="X29" i="5"/>
  <c r="W29" i="5"/>
  <c r="AC28" i="5"/>
  <c r="AB28" i="5"/>
  <c r="AA28" i="5"/>
  <c r="Z28" i="5"/>
  <c r="Y28" i="5"/>
  <c r="X28" i="5"/>
  <c r="W28" i="5"/>
  <c r="S32" i="5"/>
  <c r="R32" i="5"/>
  <c r="Q32" i="5"/>
  <c r="P32" i="5"/>
  <c r="O32" i="5"/>
  <c r="N32" i="5"/>
  <c r="M32" i="5"/>
  <c r="S30" i="5"/>
  <c r="R30" i="5"/>
  <c r="Q30" i="5"/>
  <c r="P30" i="5"/>
  <c r="O30" i="5"/>
  <c r="N30" i="5"/>
  <c r="M30" i="5"/>
  <c r="S29" i="5"/>
  <c r="R29" i="5"/>
  <c r="Q29" i="5"/>
  <c r="P29" i="5"/>
  <c r="O29" i="5"/>
  <c r="N29" i="5"/>
  <c r="M29" i="5"/>
  <c r="S28" i="5"/>
  <c r="R28" i="5"/>
  <c r="Q28" i="5"/>
  <c r="P28" i="5"/>
  <c r="O28" i="5"/>
  <c r="N28" i="5"/>
  <c r="M28" i="5"/>
  <c r="AC18" i="5"/>
  <c r="AB18" i="5"/>
  <c r="AA18" i="5"/>
  <c r="Z18" i="5"/>
  <c r="Y18" i="5"/>
  <c r="X18" i="5"/>
  <c r="W18" i="5"/>
  <c r="AC17" i="5"/>
  <c r="AB17" i="5"/>
  <c r="AA17" i="5"/>
  <c r="Z17" i="5"/>
  <c r="Y17" i="5"/>
  <c r="X17" i="5"/>
  <c r="W17" i="5"/>
  <c r="AC16" i="5"/>
  <c r="AB16" i="5"/>
  <c r="AA16" i="5"/>
  <c r="Z16" i="5"/>
  <c r="Y16" i="5"/>
  <c r="X16" i="5"/>
  <c r="W16" i="5"/>
  <c r="AC15" i="5"/>
  <c r="AB15" i="5"/>
  <c r="AA15" i="5"/>
  <c r="Z15" i="5"/>
  <c r="Y15" i="5"/>
  <c r="X15" i="5"/>
  <c r="W15" i="5"/>
  <c r="AC14" i="5"/>
  <c r="AB14" i="5"/>
  <c r="AA14" i="5"/>
  <c r="Z14" i="5"/>
  <c r="Y14" i="5"/>
  <c r="X14" i="5"/>
  <c r="W14" i="5"/>
  <c r="AC13" i="5"/>
  <c r="AB13" i="5"/>
  <c r="AA13" i="5"/>
  <c r="Z13" i="5"/>
  <c r="Y13" i="5"/>
  <c r="X13" i="5"/>
  <c r="W13" i="5"/>
  <c r="AC12" i="5"/>
  <c r="AB12" i="5"/>
  <c r="AA12" i="5"/>
  <c r="Z12" i="5"/>
  <c r="Y12" i="5"/>
  <c r="X12" i="5"/>
  <c r="W12" i="5"/>
  <c r="AC11" i="5"/>
  <c r="AB11" i="5"/>
  <c r="AA11" i="5"/>
  <c r="Z11" i="5"/>
  <c r="Y11" i="5"/>
  <c r="X11" i="5"/>
  <c r="W11" i="5"/>
  <c r="AC10" i="5"/>
  <c r="AB10" i="5"/>
  <c r="AA10" i="5"/>
  <c r="Z10" i="5"/>
  <c r="Y10" i="5"/>
  <c r="X10" i="5"/>
  <c r="W10" i="5"/>
  <c r="AC9" i="5"/>
  <c r="AB9" i="5"/>
  <c r="AA9" i="5"/>
  <c r="Z9" i="5"/>
  <c r="Y9" i="5"/>
  <c r="X9" i="5"/>
  <c r="W9" i="5"/>
  <c r="AC8" i="5"/>
  <c r="AB8" i="5"/>
  <c r="AA8" i="5"/>
  <c r="Z8" i="5"/>
  <c r="Y8" i="5"/>
  <c r="X8" i="5"/>
  <c r="W8" i="5"/>
  <c r="AC7" i="5"/>
  <c r="AB7" i="5"/>
  <c r="AA7" i="5"/>
  <c r="Z7" i="5"/>
  <c r="Y7" i="5"/>
  <c r="X7" i="5"/>
  <c r="W7" i="5"/>
  <c r="AB6" i="5"/>
  <c r="AA6" i="5"/>
  <c r="Z6" i="5"/>
  <c r="Y6" i="5"/>
  <c r="W6" i="5"/>
  <c r="AC5" i="5"/>
  <c r="AB5" i="5"/>
  <c r="AA5" i="5"/>
  <c r="Z5" i="5"/>
  <c r="Y5" i="5"/>
  <c r="X5" i="5"/>
  <c r="W5" i="5"/>
  <c r="S18" i="5"/>
  <c r="P18" i="5"/>
  <c r="O18" i="5"/>
  <c r="N18" i="5"/>
  <c r="S17" i="5"/>
  <c r="P17" i="5"/>
  <c r="O17" i="5"/>
  <c r="N17" i="5"/>
  <c r="S16" i="5"/>
  <c r="P16" i="5"/>
  <c r="O16" i="5"/>
  <c r="N16" i="5"/>
  <c r="S15" i="5"/>
  <c r="P15" i="5"/>
  <c r="O15" i="5"/>
  <c r="N15" i="5"/>
  <c r="S14" i="5"/>
  <c r="P14" i="5"/>
  <c r="O14" i="5"/>
  <c r="N14" i="5"/>
  <c r="S13" i="5"/>
  <c r="P13" i="5"/>
  <c r="O13" i="5"/>
  <c r="N13" i="5"/>
  <c r="S12" i="5"/>
  <c r="P12" i="5"/>
  <c r="O12" i="5"/>
  <c r="N12" i="5"/>
  <c r="S11" i="5"/>
  <c r="P11" i="5"/>
  <c r="O11" i="5"/>
  <c r="N11" i="5"/>
  <c r="S10" i="5"/>
  <c r="P10" i="5"/>
  <c r="O10" i="5"/>
  <c r="N10" i="5"/>
  <c r="S9" i="5"/>
  <c r="P9" i="5"/>
  <c r="O9" i="5"/>
  <c r="N9" i="5"/>
  <c r="S8" i="5"/>
  <c r="P8" i="5"/>
  <c r="O8" i="5"/>
  <c r="N8" i="5"/>
  <c r="S7" i="5"/>
  <c r="P7" i="5"/>
  <c r="O7" i="5"/>
  <c r="N7" i="5"/>
  <c r="P6" i="5"/>
  <c r="O6" i="5"/>
  <c r="S5" i="5"/>
  <c r="P5" i="5"/>
  <c r="O5" i="5"/>
  <c r="N5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T33" i="5"/>
  <c r="T49" i="5" s="1"/>
  <c r="T54" i="5" s="1"/>
  <c r="I33" i="5"/>
  <c r="I49" i="5" s="1"/>
  <c r="I54" i="5" s="1"/>
  <c r="F20" i="5"/>
  <c r="F21" i="5" s="1"/>
  <c r="G20" i="5"/>
  <c r="G21" i="5" s="1"/>
  <c r="H33" i="5"/>
  <c r="H49" i="5" s="1"/>
  <c r="H54" i="5" s="1"/>
  <c r="G33" i="5"/>
  <c r="G49" i="5" s="1"/>
  <c r="G54" i="5" s="1"/>
  <c r="F33" i="5"/>
  <c r="F49" i="5" s="1"/>
  <c r="F54" i="5" s="1"/>
  <c r="E33" i="5"/>
  <c r="E49" i="5" s="1"/>
  <c r="E54" i="5" s="1"/>
  <c r="D33" i="5"/>
  <c r="D49" i="5" s="1"/>
  <c r="D54" i="5" s="1"/>
  <c r="C33" i="5"/>
  <c r="C49" i="5" s="1"/>
  <c r="C54" i="5" s="1"/>
  <c r="E20" i="5"/>
  <c r="C20" i="5"/>
  <c r="C21" i="5" s="1"/>
  <c r="AD41" i="5" l="1"/>
  <c r="AD43" i="5" s="1"/>
  <c r="AD50" i="5" s="1"/>
  <c r="N24" i="7"/>
  <c r="B39" i="7" s="1"/>
  <c r="K27" i="7"/>
  <c r="M30" i="7"/>
  <c r="F27" i="7"/>
  <c r="C27" i="7"/>
  <c r="H27" i="7"/>
  <c r="E27" i="7"/>
  <c r="B30" i="7"/>
  <c r="B32" i="7"/>
  <c r="D27" i="7"/>
  <c r="I27" i="7"/>
  <c r="K28" i="7"/>
  <c r="C28" i="7"/>
  <c r="H28" i="7"/>
  <c r="F51" i="7"/>
  <c r="J51" i="7" s="1"/>
  <c r="J52" i="7" s="1"/>
  <c r="B28" i="7"/>
  <c r="J28" i="7"/>
  <c r="G28" i="7"/>
  <c r="H26" i="7"/>
  <c r="M28" i="7"/>
  <c r="E28" i="7"/>
  <c r="I28" i="7"/>
  <c r="C26" i="7"/>
  <c r="E31" i="7"/>
  <c r="B52" i="7"/>
  <c r="B53" i="7" s="1"/>
  <c r="J31" i="7"/>
  <c r="G31" i="7"/>
  <c r="F26" i="7"/>
  <c r="K26" i="7"/>
  <c r="M32" i="7"/>
  <c r="D31" i="7"/>
  <c r="I31" i="7"/>
  <c r="F31" i="7"/>
  <c r="J26" i="7"/>
  <c r="G26" i="7"/>
  <c r="D26" i="7"/>
  <c r="N23" i="7"/>
  <c r="N18" i="7"/>
  <c r="M19" i="7"/>
  <c r="M34" i="7" s="1"/>
  <c r="K19" i="7"/>
  <c r="K34" i="7" s="1"/>
  <c r="I19" i="7"/>
  <c r="I29" i="7" s="1"/>
  <c r="G19" i="7"/>
  <c r="G32" i="7" s="1"/>
  <c r="E19" i="7"/>
  <c r="E30" i="7" s="1"/>
  <c r="C19" i="7"/>
  <c r="C34" i="7" s="1"/>
  <c r="L19" i="7"/>
  <c r="J19" i="7"/>
  <c r="J29" i="7" s="1"/>
  <c r="H19" i="7"/>
  <c r="H29" i="7" s="1"/>
  <c r="F19" i="7"/>
  <c r="F29" i="7" s="1"/>
  <c r="D19" i="7"/>
  <c r="D29" i="7" s="1"/>
  <c r="B19" i="7"/>
  <c r="B34" i="7" s="1"/>
  <c r="T43" i="5"/>
  <c r="T50" i="5" s="1"/>
  <c r="T55" i="5" s="1"/>
  <c r="T21" i="5"/>
  <c r="T22" i="5" s="1"/>
  <c r="T23" i="5" s="1"/>
  <c r="T24" i="5" s="1"/>
  <c r="T48" i="5" s="1"/>
  <c r="T53" i="5" s="1"/>
  <c r="J24" i="5"/>
  <c r="J48" i="5" s="1"/>
  <c r="J53" i="5" s="1"/>
  <c r="J57" i="5" s="1"/>
  <c r="C12" i="10" s="1"/>
  <c r="O20" i="5"/>
  <c r="AB20" i="5"/>
  <c r="AB21" i="5" s="1"/>
  <c r="P20" i="5"/>
  <c r="P21" i="5" s="1"/>
  <c r="N6" i="5"/>
  <c r="AA38" i="5"/>
  <c r="H20" i="5"/>
  <c r="H21" i="5" s="1"/>
  <c r="I20" i="5"/>
  <c r="I21" i="5" s="1"/>
  <c r="X6" i="5"/>
  <c r="X20" i="5" s="1"/>
  <c r="X21" i="5" s="1"/>
  <c r="AB37" i="5"/>
  <c r="N20" i="5"/>
  <c r="N21" i="5" s="1"/>
  <c r="S6" i="5"/>
  <c r="S20" i="5" s="1"/>
  <c r="S21" i="5" s="1"/>
  <c r="S22" i="5" s="1"/>
  <c r="S23" i="5" s="1"/>
  <c r="Q20" i="5"/>
  <c r="Q21" i="5" s="1"/>
  <c r="Z20" i="5"/>
  <c r="Z21" i="5" s="1"/>
  <c r="Y20" i="5"/>
  <c r="Y21" i="5" s="1"/>
  <c r="Y22" i="5" s="1"/>
  <c r="Y23" i="5" s="1"/>
  <c r="AA20" i="5"/>
  <c r="AA21" i="5" s="1"/>
  <c r="AC20" i="5"/>
  <c r="AC21" i="5" s="1"/>
  <c r="AC22" i="5" s="1"/>
  <c r="AC23" i="5" s="1"/>
  <c r="W20" i="5"/>
  <c r="W21" i="5" s="1"/>
  <c r="W38" i="5"/>
  <c r="W37" i="5"/>
  <c r="M37" i="5"/>
  <c r="M38" i="5"/>
  <c r="M20" i="5"/>
  <c r="M21" i="5" s="1"/>
  <c r="F38" i="5"/>
  <c r="Q33" i="5"/>
  <c r="Q49" i="5" s="1"/>
  <c r="Q54" i="5" s="1"/>
  <c r="N33" i="5"/>
  <c r="N49" i="5" s="1"/>
  <c r="N54" i="5" s="1"/>
  <c r="R33" i="5"/>
  <c r="R49" i="5" s="1"/>
  <c r="R54" i="5" s="1"/>
  <c r="AC33" i="5"/>
  <c r="AC49" i="5" s="1"/>
  <c r="AC54" i="5" s="1"/>
  <c r="AA33" i="5"/>
  <c r="AA49" i="5" s="1"/>
  <c r="AA54" i="5" s="1"/>
  <c r="Y33" i="5"/>
  <c r="Y49" i="5" s="1"/>
  <c r="Y54" i="5" s="1"/>
  <c r="W33" i="5"/>
  <c r="W49" i="5" s="1"/>
  <c r="W54" i="5" s="1"/>
  <c r="AB33" i="5"/>
  <c r="AB49" i="5" s="1"/>
  <c r="AB54" i="5" s="1"/>
  <c r="Z33" i="5"/>
  <c r="Z49" i="5" s="1"/>
  <c r="Z54" i="5" s="1"/>
  <c r="X33" i="5"/>
  <c r="X49" i="5" s="1"/>
  <c r="X54" i="5" s="1"/>
  <c r="P22" i="5"/>
  <c r="P24" i="5" s="1"/>
  <c r="P48" i="5" s="1"/>
  <c r="P53" i="5" s="1"/>
  <c r="O21" i="5"/>
  <c r="O22" i="5" s="1"/>
  <c r="O23" i="5" s="1"/>
  <c r="F37" i="5"/>
  <c r="P33" i="5"/>
  <c r="P49" i="5" s="1"/>
  <c r="P54" i="5" s="1"/>
  <c r="M33" i="5"/>
  <c r="M49" i="5" s="1"/>
  <c r="M54" i="5" s="1"/>
  <c r="O33" i="5"/>
  <c r="O49" i="5" s="1"/>
  <c r="O54" i="5" s="1"/>
  <c r="S33" i="5"/>
  <c r="S49" i="5" s="1"/>
  <c r="S54" i="5" s="1"/>
  <c r="R22" i="5"/>
  <c r="G22" i="5"/>
  <c r="G23" i="5" s="1"/>
  <c r="F22" i="5"/>
  <c r="F24" i="5" s="1"/>
  <c r="F48" i="5" s="1"/>
  <c r="F53" i="5" s="1"/>
  <c r="E21" i="5"/>
  <c r="E22" i="5" s="1"/>
  <c r="E23" i="5" s="1"/>
  <c r="D21" i="5"/>
  <c r="D22" i="5" s="1"/>
  <c r="D23" i="5" s="1"/>
  <c r="C22" i="5"/>
  <c r="C24" i="5" s="1"/>
  <c r="C48" i="5" s="1"/>
  <c r="C53" i="5" s="1"/>
  <c r="Q38" i="5" l="1"/>
  <c r="R37" i="5"/>
  <c r="N26" i="7"/>
  <c r="N28" i="7"/>
  <c r="N27" i="7"/>
  <c r="B45" i="7"/>
  <c r="C30" i="7"/>
  <c r="J30" i="7"/>
  <c r="L34" i="7"/>
  <c r="L30" i="7"/>
  <c r="D30" i="7"/>
  <c r="H30" i="7"/>
  <c r="K30" i="7"/>
  <c r="F30" i="7"/>
  <c r="I30" i="7"/>
  <c r="G30" i="7"/>
  <c r="D34" i="7"/>
  <c r="G34" i="7"/>
  <c r="E29" i="7"/>
  <c r="E34" i="7"/>
  <c r="H34" i="7"/>
  <c r="I34" i="7"/>
  <c r="F34" i="7"/>
  <c r="J34" i="7"/>
  <c r="N31" i="7"/>
  <c r="B40" i="7" s="1"/>
  <c r="B46" i="7" s="1"/>
  <c r="G29" i="7"/>
  <c r="F32" i="7"/>
  <c r="L29" i="7"/>
  <c r="L32" i="7"/>
  <c r="D32" i="7"/>
  <c r="C29" i="7"/>
  <c r="C32" i="7"/>
  <c r="K29" i="7"/>
  <c r="K32" i="7"/>
  <c r="E32" i="7"/>
  <c r="J32" i="7"/>
  <c r="I32" i="7"/>
  <c r="H32" i="7"/>
  <c r="N19" i="7"/>
  <c r="N29" i="7" s="1"/>
  <c r="M22" i="5"/>
  <c r="M24" i="5" s="1"/>
  <c r="M48" i="5" s="1"/>
  <c r="M53" i="5" s="1"/>
  <c r="Z22" i="5"/>
  <c r="Z24" i="5" s="1"/>
  <c r="Z48" i="5" s="1"/>
  <c r="Z53" i="5" s="1"/>
  <c r="T57" i="5"/>
  <c r="E12" i="10" s="1"/>
  <c r="AD55" i="5"/>
  <c r="AD57" i="5" s="1"/>
  <c r="G12" i="10" s="1"/>
  <c r="I22" i="5"/>
  <c r="I23" i="5" s="1"/>
  <c r="AB22" i="5"/>
  <c r="H22" i="5"/>
  <c r="H23" i="5" s="1"/>
  <c r="N22" i="5"/>
  <c r="N23" i="5" s="1"/>
  <c r="X22" i="5"/>
  <c r="X23" i="5" s="1"/>
  <c r="X24" i="5" s="1"/>
  <c r="X48" i="5" s="1"/>
  <c r="X53" i="5" s="1"/>
  <c r="Q22" i="5"/>
  <c r="S37" i="5"/>
  <c r="G24" i="5"/>
  <c r="G48" i="5" s="1"/>
  <c r="G53" i="5" s="1"/>
  <c r="AC37" i="5"/>
  <c r="AA22" i="5"/>
  <c r="W22" i="5"/>
  <c r="W24" i="5" s="1"/>
  <c r="W48" i="5" s="1"/>
  <c r="W53" i="5" s="1"/>
  <c r="AA37" i="5"/>
  <c r="Q37" i="5"/>
  <c r="Y37" i="5"/>
  <c r="O37" i="5"/>
  <c r="C43" i="5"/>
  <c r="C50" i="5" s="1"/>
  <c r="W39" i="5"/>
  <c r="W43" i="5" s="1"/>
  <c r="W50" i="5" s="1"/>
  <c r="W55" i="5" s="1"/>
  <c r="M39" i="5"/>
  <c r="M43" i="5" s="1"/>
  <c r="M50" i="5" s="1"/>
  <c r="AB38" i="5"/>
  <c r="R38" i="5"/>
  <c r="P37" i="5"/>
  <c r="Z37" i="5"/>
  <c r="D40" i="5"/>
  <c r="D43" i="5" s="1"/>
  <c r="D50" i="5" s="1"/>
  <c r="D55" i="5" s="1"/>
  <c r="X38" i="5"/>
  <c r="N38" i="5"/>
  <c r="N37" i="5"/>
  <c r="X37" i="5"/>
  <c r="O38" i="5"/>
  <c r="Y38" i="5"/>
  <c r="F41" i="5"/>
  <c r="Z38" i="5"/>
  <c r="P38" i="5"/>
  <c r="Y24" i="5"/>
  <c r="Y48" i="5" s="1"/>
  <c r="Y53" i="5" s="1"/>
  <c r="O24" i="5"/>
  <c r="O48" i="5" s="1"/>
  <c r="O53" i="5" s="1"/>
  <c r="AC24" i="5"/>
  <c r="AC48" i="5" s="1"/>
  <c r="AC53" i="5" s="1"/>
  <c r="S24" i="5"/>
  <c r="S48" i="5" s="1"/>
  <c r="S53" i="5" s="1"/>
  <c r="E24" i="5"/>
  <c r="E48" i="5" s="1"/>
  <c r="E53" i="5" s="1"/>
  <c r="D24" i="5"/>
  <c r="D48" i="5" s="1"/>
  <c r="D53" i="5" s="1"/>
  <c r="N34" i="7" l="1"/>
  <c r="N30" i="7"/>
  <c r="B42" i="7" s="1"/>
  <c r="B50" i="7"/>
  <c r="N32" i="7"/>
  <c r="B41" i="7" s="1"/>
  <c r="B47" i="7" s="1"/>
  <c r="H41" i="5" s="1"/>
  <c r="I24" i="5"/>
  <c r="I48" i="5" s="1"/>
  <c r="I53" i="5" s="1"/>
  <c r="C55" i="5"/>
  <c r="C57" i="5" s="1"/>
  <c r="C5" i="10" s="1"/>
  <c r="M55" i="5"/>
  <c r="M57" i="5" s="1"/>
  <c r="E5" i="10" s="1"/>
  <c r="R23" i="5"/>
  <c r="R24" i="5" s="1"/>
  <c r="R48" i="5" s="1"/>
  <c r="R53" i="5" s="1"/>
  <c r="N24" i="5"/>
  <c r="N48" i="5" s="1"/>
  <c r="N53" i="5" s="1"/>
  <c r="AA23" i="5"/>
  <c r="AA24" i="5" s="1"/>
  <c r="AA48" i="5" s="1"/>
  <c r="AA53" i="5" s="1"/>
  <c r="Q23" i="5"/>
  <c r="Q24" i="5" s="1"/>
  <c r="Q48" i="5" s="1"/>
  <c r="Q53" i="5" s="1"/>
  <c r="F50" i="5"/>
  <c r="W57" i="5"/>
  <c r="G5" i="10" s="1"/>
  <c r="R39" i="5"/>
  <c r="AB39" i="5"/>
  <c r="P41" i="5"/>
  <c r="Z41" i="5"/>
  <c r="P39" i="5"/>
  <c r="Z39" i="5"/>
  <c r="Z43" i="5" s="1"/>
  <c r="Z50" i="5" s="1"/>
  <c r="E43" i="5"/>
  <c r="E50" i="5" s="1"/>
  <c r="O42" i="5"/>
  <c r="O43" i="5" s="1"/>
  <c r="O50" i="5" s="1"/>
  <c r="Y42" i="5"/>
  <c r="Y43" i="5" s="1"/>
  <c r="Y50" i="5" s="1"/>
  <c r="X40" i="5"/>
  <c r="X43" i="5" s="1"/>
  <c r="X50" i="5" s="1"/>
  <c r="N40" i="5"/>
  <c r="N43" i="5" s="1"/>
  <c r="N50" i="5" s="1"/>
  <c r="N55" i="5" s="1"/>
  <c r="S38" i="5"/>
  <c r="AC38" i="5"/>
  <c r="AA39" i="5"/>
  <c r="Q39" i="5"/>
  <c r="D57" i="5"/>
  <c r="C6" i="10" s="1"/>
  <c r="H40" i="5" l="1"/>
  <c r="AB41" i="5"/>
  <c r="R41" i="5"/>
  <c r="E42" i="7"/>
  <c r="B48" i="7"/>
  <c r="I41" i="5"/>
  <c r="I40" i="5" s="1"/>
  <c r="S40" i="5" s="1"/>
  <c r="G41" i="5"/>
  <c r="E55" i="5"/>
  <c r="E57" i="5" s="1"/>
  <c r="C7" i="10" s="1"/>
  <c r="F55" i="5"/>
  <c r="F57" i="5" s="1"/>
  <c r="C8" i="10" s="1"/>
  <c r="Y55" i="5"/>
  <c r="Y57" i="5" s="1"/>
  <c r="G7" i="10" s="1"/>
  <c r="X55" i="5"/>
  <c r="X57" i="5" s="1"/>
  <c r="G6" i="10" s="1"/>
  <c r="O55" i="5"/>
  <c r="O57" i="5" s="1"/>
  <c r="E7" i="10" s="1"/>
  <c r="Z55" i="5"/>
  <c r="Z57" i="5" s="1"/>
  <c r="G8" i="10" s="1"/>
  <c r="N57" i="5"/>
  <c r="E6" i="10" s="1"/>
  <c r="H24" i="5"/>
  <c r="H48" i="5" s="1"/>
  <c r="H53" i="5" s="1"/>
  <c r="AB23" i="5"/>
  <c r="AB24" i="5" s="1"/>
  <c r="AB48" i="5" s="1"/>
  <c r="AB53" i="5" s="1"/>
  <c r="P43" i="5"/>
  <c r="P50" i="5" s="1"/>
  <c r="S41" i="5" l="1"/>
  <c r="AC40" i="5"/>
  <c r="I43" i="5"/>
  <c r="I50" i="5" s="1"/>
  <c r="I55" i="5" s="1"/>
  <c r="I57" i="5" s="1"/>
  <c r="C11" i="10" s="1"/>
  <c r="AC41" i="5"/>
  <c r="G40" i="5"/>
  <c r="Q41" i="5"/>
  <c r="AA41" i="5"/>
  <c r="H43" i="5"/>
  <c r="H50" i="5" s="1"/>
  <c r="H55" i="5" s="1"/>
  <c r="H57" i="5" s="1"/>
  <c r="C10" i="10" s="1"/>
  <c r="R40" i="5"/>
  <c r="R43" i="5"/>
  <c r="R50" i="5" s="1"/>
  <c r="R55" i="5" s="1"/>
  <c r="R57" i="5" s="1"/>
  <c r="E10" i="10" s="1"/>
  <c r="AB40" i="5"/>
  <c r="AB43" i="5" s="1"/>
  <c r="AB50" i="5" s="1"/>
  <c r="AB55" i="5" s="1"/>
  <c r="AB57" i="5" s="1"/>
  <c r="G10" i="10" s="1"/>
  <c r="P55" i="5"/>
  <c r="P57" i="5" s="1"/>
  <c r="E8" i="10" s="1"/>
  <c r="S43" i="5"/>
  <c r="S50" i="5" s="1"/>
  <c r="AC43" i="5" l="1"/>
  <c r="AC50" i="5" s="1"/>
  <c r="AC55" i="5" s="1"/>
  <c r="AC57" i="5" s="1"/>
  <c r="G11" i="10" s="1"/>
  <c r="Q40" i="5"/>
  <c r="G43" i="5"/>
  <c r="G50" i="5" s="1"/>
  <c r="G55" i="5" s="1"/>
  <c r="G57" i="5" s="1"/>
  <c r="C9" i="10" s="1"/>
  <c r="D10" i="10" s="1"/>
  <c r="Q43" i="5"/>
  <c r="Q50" i="5" s="1"/>
  <c r="Q55" i="5" s="1"/>
  <c r="Q57" i="5" s="1"/>
  <c r="E9" i="10" s="1"/>
  <c r="AA40" i="5"/>
  <c r="AA43" i="5" s="1"/>
  <c r="AA50" i="5" s="1"/>
  <c r="AA55" i="5" s="1"/>
  <c r="AA57" i="5" s="1"/>
  <c r="G9" i="10" s="1"/>
  <c r="S55" i="5"/>
  <c r="S57" i="5" s="1"/>
  <c r="E11" i="10" s="1"/>
  <c r="H11" i="10" l="1"/>
  <c r="F11" i="10"/>
  <c r="D11" i="10"/>
  <c r="F9" i="10"/>
  <c r="F5" i="10"/>
  <c r="F12" i="10"/>
  <c r="F8" i="10"/>
  <c r="F7" i="10"/>
  <c r="F6" i="10"/>
  <c r="H9" i="10"/>
  <c r="H6" i="10"/>
  <c r="H5" i="10"/>
  <c r="H12" i="10"/>
  <c r="H8" i="10"/>
  <c r="H7" i="10"/>
  <c r="D9" i="10"/>
  <c r="D8" i="10"/>
  <c r="D7" i="10"/>
  <c r="D6" i="10"/>
  <c r="D5" i="10"/>
  <c r="D12" i="10"/>
  <c r="H10" i="10"/>
  <c r="F1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hjw</author>
  </authors>
  <commentList>
    <comment ref="B7" authorId="0" shapeId="0" xr:uid="{4D2F99E2-2BFC-4607-B16D-C066F0F0C9D5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Grundgebühr beachten. Muss mit in den Gaspreis eingerechnet werden
</t>
        </r>
      </text>
    </comment>
    <comment ref="C12" authorId="0" shapeId="0" xr:uid="{6AE124B9-FA6A-4921-803D-276D90851553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Energieverbrauch nach Heizungsoptimierung durch bessere Dämmung der Rohre, hydraulischem Abgleich, modernere Technik ...</t>
        </r>
      </text>
    </comment>
    <comment ref="E12" authorId="0" shapeId="0" xr:uid="{F97093E1-D596-472E-BD14-4BD6499ECDAF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Energieverbrauch bisher insgesamt lt Abrechnung mit dem Gasversorger oder Ölmenge in Liter * 10kWh/l</t>
        </r>
      </text>
    </comment>
    <comment ref="E14" authorId="0" shapeId="0" xr:uid="{695C1290-01F5-4D72-92CD-DF1CD1B2DEA2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Energieverbrauch Warmwasser bisher 3*800kWh</t>
        </r>
      </text>
    </comment>
    <comment ref="H19" authorId="0" shapeId="0" xr:uid="{55BC3AFC-5E8D-4A00-9A14-111F9AED5E7A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Sockel, Ausdehnungsgefäß; Füllstation, Füllen, ….</t>
        </r>
      </text>
    </comment>
    <comment ref="B21" authorId="0" shapeId="0" xr:uid="{72687B0B-3EF3-4155-A26E-68B856238E8A}">
      <text>
        <r>
          <rPr>
            <b/>
            <sz val="9"/>
            <color indexed="81"/>
            <rFont val="Segoe UI"/>
            <charset val="1"/>
          </rPr>
          <t>hjw:</t>
        </r>
        <r>
          <rPr>
            <sz val="9"/>
            <color indexed="81"/>
            <rFont val="Segoe UI"/>
            <charset val="1"/>
          </rPr>
          <t xml:space="preserve">
Bei einer Heizkörperheizung und einem wenig gedämmten Haus auf 3 setzen, Heizkörker und gut gedämmt 3,3, Fußbodenheizung 3,5</t>
        </r>
      </text>
    </comment>
    <comment ref="B28" authorId="0" shapeId="0" xr:uid="{2A77804F-7004-4BEA-9ED7-CD8109E6F6BF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Wichtig für Förderung 
Infrarotheizung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hjw</author>
  </authors>
  <commentList>
    <comment ref="G6" authorId="0" shapeId="0" xr:uid="{A2519D4F-20D9-4792-9055-B60C23DE4F27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Zuschlag zur Wärmepumpe für den Eisspeicher 10.000€ und die Zusatzkosten für die Twin-Anlage 20%. Bei Twin-Anlage PV-Leistung beachten.
</t>
        </r>
      </text>
    </comment>
    <comment ref="H6" authorId="0" shapeId="0" xr:uid="{81FD954C-EC05-49A1-BEBB-0436F7CC3924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Zusatzkosten für Tiefenbohrung von 10.000€ angenommen.</t>
        </r>
      </text>
    </comment>
    <comment ref="J6" authorId="0" shapeId="0" xr:uid="{94D13C97-AB9E-4504-A709-C754F50610FE}">
      <text>
        <r>
          <rPr>
            <b/>
            <sz val="9"/>
            <color indexed="81"/>
            <rFont val="Segoe UI"/>
            <charset val="1"/>
          </rPr>
          <t>hjw:</t>
        </r>
        <r>
          <rPr>
            <sz val="9"/>
            <color indexed="81"/>
            <rFont val="Segoe UI"/>
            <charset val="1"/>
          </rPr>
          <t xml:space="preserve">
1200€ pro kW</t>
        </r>
      </text>
    </comment>
    <comment ref="D8" authorId="0" shapeId="0" xr:uid="{A0334224-FEAA-4622-B018-0EDFFF7B7A5F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Pufferspeicher ist bei einer Fußbodenheizung nicht erforderlich
Trinkwasserspeicher schon
also auf 1.000€ setzen, wenn Fußbodenheizung vorhanden ist.</t>
        </r>
      </text>
    </comment>
    <comment ref="C13" authorId="0" shapeId="0" xr:uid="{8D0AD888-1AD8-4830-9E78-7C1660ECB49B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500€ für Gasleitung
</t>
        </r>
      </text>
    </comment>
    <comment ref="E37" authorId="0" shapeId="0" xr:uid="{CDE3F3D2-6CC9-4D60-B8A5-1F252E1B38F9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37" authorId="0" shapeId="0" xr:uid="{1A87F7FF-189D-4D7D-95A9-113F9F64F802}">
      <text>
        <r>
          <rPr>
            <b/>
            <sz val="9"/>
            <color indexed="81"/>
            <rFont val="Segoe UI"/>
            <charset val="1"/>
          </rPr>
          <t>hjw:</t>
        </r>
        <r>
          <rPr>
            <sz val="9"/>
            <color indexed="81"/>
            <rFont val="Segoe UI"/>
            <charset val="1"/>
          </rPr>
          <t xml:space="preserve">
JAZ um 1 besser als bei einer Luft WP
</t>
        </r>
      </text>
    </comment>
    <comment ref="H37" authorId="0" shapeId="0" xr:uid="{D5299A6A-A9E2-4329-8437-3BFC99230DF8}">
      <text>
        <r>
          <rPr>
            <b/>
            <sz val="9"/>
            <color indexed="81"/>
            <rFont val="Segoe UI"/>
            <charset val="1"/>
          </rPr>
          <t>hjw:</t>
        </r>
        <r>
          <rPr>
            <sz val="9"/>
            <color indexed="81"/>
            <rFont val="Segoe UI"/>
            <charset val="1"/>
          </rPr>
          <t xml:space="preserve">
JAZ um 0,7 besser als bei einer Luft-WP</t>
        </r>
      </text>
    </comment>
    <comment ref="J41" authorId="0" shapeId="0" xr:uid="{66630B80-4B05-42B4-9473-31ACD9D879CD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Annahme optimistisch 33% PV-Strom</t>
        </r>
      </text>
    </comment>
    <comment ref="E42" authorId="0" shapeId="0" xr:uid="{C7862CC8-D96B-4546-B541-E3586BAF767B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10% höherer Heizenergiebedarf, weil Pelletkessel einen schlechteren Wirkungsgrad haben wie Gaskessel oder Wärmepumpen (hohe Abgastemperaturen...)</t>
        </r>
      </text>
    </comment>
  </commentList>
</comments>
</file>

<file path=xl/sharedStrings.xml><?xml version="1.0" encoding="utf-8"?>
<sst xmlns="http://schemas.openxmlformats.org/spreadsheetml/2006/main" count="405" uniqueCount="264">
  <si>
    <t>Gas</t>
  </si>
  <si>
    <t>Pellets</t>
  </si>
  <si>
    <t>kWh</t>
  </si>
  <si>
    <t>Gasanschluss</t>
  </si>
  <si>
    <t>Demontage alte Anlage /Entsorgung</t>
  </si>
  <si>
    <t>Kessel mit Montage</t>
  </si>
  <si>
    <t>Schornsteinsanierung</t>
  </si>
  <si>
    <t>Frischwasserstation</t>
  </si>
  <si>
    <t xml:space="preserve">Heizkreisstation, Zirkulation, Montagematerial    </t>
  </si>
  <si>
    <t>Hydraulischer Abgleich mit Berechnung</t>
  </si>
  <si>
    <t>Pelletlager</t>
  </si>
  <si>
    <t>Summe Netto</t>
  </si>
  <si>
    <t>USt</t>
  </si>
  <si>
    <t>Summe Brutto</t>
  </si>
  <si>
    <t>Kosten</t>
  </si>
  <si>
    <t>Laufende Kosten (grob)</t>
  </si>
  <si>
    <t>Schornsteinfeger</t>
  </si>
  <si>
    <t>Versicherung/Überwachung</t>
  </si>
  <si>
    <t>Verbrauchsgebunden Kosten</t>
  </si>
  <si>
    <t>Gas-Brennwert</t>
  </si>
  <si>
    <t>Luft-Wärmepumpe</t>
  </si>
  <si>
    <t>Elektroinstallation</t>
  </si>
  <si>
    <t>Schornsteinfeger Abnahme</t>
  </si>
  <si>
    <t>Wartung in €/a</t>
  </si>
  <si>
    <t>Hilfsenergie (1.000kWh * 30Cent/kWh)</t>
  </si>
  <si>
    <t>Pufferspeicher/ WW-Speicher</t>
  </si>
  <si>
    <t>Trinkwasserwärmepumpe mit Montage</t>
  </si>
  <si>
    <t xml:space="preserve">Heizstab mit PV-Regelung mit Montage </t>
  </si>
  <si>
    <t>Gas-Brennwert mit PV-Heizstab</t>
  </si>
  <si>
    <t>Gas-Brennwert mit TW-WP</t>
  </si>
  <si>
    <t>Gas-Brennwert mit th. Solaranlage</t>
  </si>
  <si>
    <t>thermische Solaranlage 2 Module ca. 4m²</t>
  </si>
  <si>
    <t>Endenergieverbrauch [kWh/a] Heizung</t>
  </si>
  <si>
    <t>Endenergieverbrauch WW (2 Personen)</t>
  </si>
  <si>
    <t>Strom aus dem Netz</t>
  </si>
  <si>
    <t>PV-Strom</t>
  </si>
  <si>
    <t>Invest</t>
  </si>
  <si>
    <t>Kosten in €/a</t>
  </si>
  <si>
    <t>Kosten €/a</t>
  </si>
  <si>
    <t>Laufende Betriebskosten pro Jahr</t>
  </si>
  <si>
    <t>Energiekosten pro Jahr</t>
  </si>
  <si>
    <t>Luft-Wärmepumpe mit PV-Anlage</t>
  </si>
  <si>
    <t>Statisch</t>
  </si>
  <si>
    <t>mit 2% Preissteigerung</t>
  </si>
  <si>
    <t>mit 4% Preissteigerung</t>
  </si>
  <si>
    <t>Luft-Wärmepumpe mit JAZ = 3</t>
  </si>
  <si>
    <t>Preiserhöhung 2% p.a.</t>
  </si>
  <si>
    <t>Preiserhöhung 4% p.a.</t>
  </si>
  <si>
    <t>Gaspreis [€/kWh]</t>
  </si>
  <si>
    <t>Strompreis [€/kWh]</t>
  </si>
  <si>
    <t>Pelletpreis [€/kWh]</t>
  </si>
  <si>
    <t>PV-Strom [€/kWh]</t>
  </si>
  <si>
    <t>Heizenergiebedarf [kWh]</t>
  </si>
  <si>
    <t>%</t>
  </si>
  <si>
    <t>Förderung ca.</t>
  </si>
  <si>
    <t>Anschaffungskosten</t>
  </si>
  <si>
    <t>Laufende Kosten €/a</t>
  </si>
  <si>
    <t>verbrauchsgebundene Kosten in €/a</t>
  </si>
  <si>
    <t>Zusammenfassung</t>
  </si>
  <si>
    <t>Anschaffungskosten/Invest</t>
  </si>
  <si>
    <t>verbrauchsgebundene Energiekosten pro Jahr</t>
  </si>
  <si>
    <t xml:space="preserve">Endenergieverbrauch WW </t>
  </si>
  <si>
    <t>Förderung Biomasse max.</t>
  </si>
  <si>
    <t>€/kWh</t>
  </si>
  <si>
    <t xml:space="preserve">Förderung Wärmepumpe </t>
  </si>
  <si>
    <t>Förderung Heizungsoptimierung</t>
  </si>
  <si>
    <t>Vorlauftemperatur</t>
  </si>
  <si>
    <t>°C</t>
  </si>
  <si>
    <t>Preis WP</t>
  </si>
  <si>
    <t>&lt;8kW</t>
  </si>
  <si>
    <t>&lt;12kW</t>
  </si>
  <si>
    <t>&lt;14kW</t>
  </si>
  <si>
    <t>&lt;20kW</t>
  </si>
  <si>
    <t>&gt;=20kW</t>
  </si>
  <si>
    <t>Berechneter Preis</t>
  </si>
  <si>
    <t>Sole-Wärmepumpe mit Tiefenbohrung und PV-Anlage</t>
  </si>
  <si>
    <t>Sole-Wärmepumpe mit Eisspeicher und Twin-PV-Anlage</t>
  </si>
  <si>
    <t>Kosten Gaszähler</t>
  </si>
  <si>
    <t>Warmwasserenergiebedarf (800kWh/Person)</t>
  </si>
  <si>
    <t>kW</t>
  </si>
  <si>
    <t>Betrachtungszeitraum</t>
  </si>
  <si>
    <t>Jahre</t>
  </si>
  <si>
    <t xml:space="preserve">Kosten über den Betrachtungszeitraum </t>
  </si>
  <si>
    <t>Beim Einsatz einer Wärmepumpe wird Strom eingesetzt</t>
  </si>
  <si>
    <t>Bei der Nutzung von eigenem Solarstrom passt die Erzeugung (Sommer) nicht zum Verbrauch (Winter)</t>
  </si>
  <si>
    <t>Hier wird mit ausreichender Genauigkeit simuliert, wieviel Solarstrom für die Wärmeerzeugung genutzt werden kann</t>
  </si>
  <si>
    <t>Stromverbrauch im Haushalt</t>
  </si>
  <si>
    <t>Stromverbrauch der Wärmepumpe für Warmwasser</t>
  </si>
  <si>
    <t>Stromverbrauch der Wärmepumpe für Heizung</t>
  </si>
  <si>
    <t>Zeitreihen</t>
  </si>
  <si>
    <t>Heizung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</si>
  <si>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</si>
  <si>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</si>
  <si>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</si>
  <si>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</si>
  <si>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</si>
  <si>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</si>
  <si>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</si>
  <si>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</si>
  <si>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</si>
  <si>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</si>
  <si>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Gesamt</t>
  </si>
  <si>
    <t>Jan</t>
  </si>
  <si>
    <t>Feb</t>
  </si>
  <si>
    <t>Verbrauch Haushaltsstrom</t>
  </si>
  <si>
    <t>Verbrauch Warmwasser</t>
  </si>
  <si>
    <t>Verbrauch Heizung</t>
  </si>
  <si>
    <t>langjähriges Mittel (20 Jahre)*</t>
  </si>
  <si>
    <t>Außen-</t>
  </si>
  <si>
    <t>Außentemp.</t>
  </si>
  <si>
    <t>temperatur</t>
  </si>
  <si>
    <t>[Kd]</t>
  </si>
  <si>
    <t>[d]</t>
  </si>
  <si>
    <t>[°C]</t>
  </si>
  <si>
    <t>Gradtagzahl</t>
  </si>
  <si>
    <t>GTZ 20/15</t>
  </si>
  <si>
    <t>Heiztage</t>
  </si>
  <si>
    <t>an Heiztagen</t>
  </si>
  <si>
    <t>Erzeugung Solarstrom</t>
  </si>
  <si>
    <t>Leistung PV-Anlage</t>
  </si>
  <si>
    <t>kWp</t>
  </si>
  <si>
    <t>Deckungsgrad Haushaltsstrom</t>
  </si>
  <si>
    <t>Deckungsgrad WW</t>
  </si>
  <si>
    <t>Kapazität Batteriespeicher</t>
  </si>
  <si>
    <t>Mrz</t>
  </si>
  <si>
    <t>Gesamtergebnis</t>
  </si>
  <si>
    <t>Summe von Ist-Erzeugung</t>
  </si>
  <si>
    <t>Spezifischer Ertrag/kWp</t>
  </si>
  <si>
    <t>Süd</t>
  </si>
  <si>
    <t>WW</t>
  </si>
  <si>
    <t>Deckungsgrad Heizung</t>
  </si>
  <si>
    <t>Reststrom für WW und Heizung</t>
  </si>
  <si>
    <t>Reststrom für Heizung</t>
  </si>
  <si>
    <t>Angebot für WW max</t>
  </si>
  <si>
    <t>Angebot für Heizung max</t>
  </si>
  <si>
    <t>theoretischer Nutzungsgrad WW</t>
  </si>
  <si>
    <t>theoretischer Nutzungsgrad Heizung</t>
  </si>
  <si>
    <t>Verbrauch gesamt</t>
  </si>
  <si>
    <t>Tagesverbrauch Strom durchschn</t>
  </si>
  <si>
    <t xml:space="preserve">Deckungsgrad durch Speicher </t>
  </si>
  <si>
    <t>Einspeisung</t>
  </si>
  <si>
    <t>Eigenverbrauch</t>
  </si>
  <si>
    <t>Gradtage [Kd] für Heizung 20/15</t>
  </si>
  <si>
    <t>Faktor Verbrauch</t>
  </si>
  <si>
    <t>Faktor Ertrag</t>
  </si>
  <si>
    <t>ideale Speicherkapazität</t>
  </si>
  <si>
    <t>Deckungsanteil Speicher</t>
  </si>
  <si>
    <t>Erzeugung gesamt</t>
  </si>
  <si>
    <t>Nutzung für Haushalt</t>
  </si>
  <si>
    <t>Nutzung für WW</t>
  </si>
  <si>
    <t>Nutzung für Heizung</t>
  </si>
  <si>
    <t>theoretischer Nutzungsgrad Haushaltsstrom</t>
  </si>
  <si>
    <t>theoretischer Gesamtnutzungsgrad</t>
  </si>
  <si>
    <t>realistisch ohne Speicher</t>
  </si>
  <si>
    <t>praktischer Nutzungsgrad mit Speicher</t>
  </si>
  <si>
    <t>Haushalt</t>
  </si>
  <si>
    <t>Wird in der WIR genutzt</t>
  </si>
  <si>
    <t xml:space="preserve">PV-Strom </t>
  </si>
  <si>
    <t>Südwest</t>
  </si>
  <si>
    <t>Südost</t>
  </si>
  <si>
    <t>West</t>
  </si>
  <si>
    <t>Ost</t>
  </si>
  <si>
    <t>Nordwest</t>
  </si>
  <si>
    <t>Nord</t>
  </si>
  <si>
    <t>Nordost</t>
  </si>
  <si>
    <t>kWh/a</t>
  </si>
  <si>
    <t>Infrarotheizung mit PV-Anlage</t>
  </si>
  <si>
    <t>Hier werden wichtige Daten eingegeben</t>
  </si>
  <si>
    <t>Die Daten können jederzeit geändert werden und sollten der individuellen Situation entsprechen</t>
  </si>
  <si>
    <t>Nebenrechnungen, bitte nicht ändern</t>
  </si>
  <si>
    <t>Ausrichtung der PV-Anlage</t>
  </si>
  <si>
    <t>Endenergiebedarf Heizung und Warmwasser</t>
  </si>
  <si>
    <t>JahresArbeitsZahl der Luft-WP</t>
  </si>
  <si>
    <t>Leistung WP grob</t>
  </si>
  <si>
    <t>Leistungsklasse</t>
  </si>
  <si>
    <t>Gasanschluss/Wärmeverteilsystem (Neubau)</t>
  </si>
  <si>
    <t>Kostenzusammenstellung</t>
  </si>
  <si>
    <t>Bei den Investitionen können die individullen Erkenntnisse eingetragen werden</t>
  </si>
  <si>
    <t>Simulation des tatsächlichen Stromverbrauchs für die Wärmepumpe, der von der PV-Anlage genutzt werden kann</t>
  </si>
  <si>
    <t>Berechnung ist etwas grob, aber für die Investitionsentscheidung ausrechend</t>
  </si>
  <si>
    <t>Investitionskosten (Statisch, grob)</t>
  </si>
  <si>
    <t>Investitionskosten (2%Preissteigerung, grob)</t>
  </si>
  <si>
    <t>Investitionskosten (4%Preissteigerung, grob)</t>
  </si>
  <si>
    <t>Gesamtkosten im Betrachtungszeitraum</t>
  </si>
  <si>
    <t>Energiekosten im Betrachtungszeitraum</t>
  </si>
  <si>
    <t>Laufende Betriebskosten im Betrachtungszeitraum</t>
  </si>
  <si>
    <t>Kosten im Betrachtungszeitraum statisch</t>
  </si>
  <si>
    <t>Kosten im Betrachtungszeitraum bei 2% Preisteigerung</t>
  </si>
  <si>
    <t>Betriebskosten</t>
  </si>
  <si>
    <t>Energiekosten</t>
  </si>
  <si>
    <t xml:space="preserve">Energiekosten </t>
  </si>
  <si>
    <t>Kosten im Betrachtungszeitraum bei 4% Preissteigerung</t>
  </si>
  <si>
    <t>Luft-Wärmepumpe ohne PV-Anlage</t>
  </si>
  <si>
    <t>Wenn Formeln in den Zellen sind, dann aufpassen.</t>
  </si>
  <si>
    <t>pro Tonne</t>
  </si>
  <si>
    <t>€/Tonne</t>
  </si>
  <si>
    <t>Haushaltsstrombedarf (1.000kWh/Person)</t>
  </si>
  <si>
    <t>Berechnungen zur Speicherkapazität</t>
  </si>
  <si>
    <t>Speicherkapazität</t>
  </si>
  <si>
    <t>Wärmepumpen Referenz</t>
  </si>
  <si>
    <t>Luft-Wasser-Wärmepumpen</t>
  </si>
  <si>
    <t>Sole-Wasser-Wärmepumpen</t>
  </si>
  <si>
    <t>Buderus</t>
  </si>
  <si>
    <t>Typ</t>
  </si>
  <si>
    <t>Ausstattung</t>
  </si>
  <si>
    <t>Speicher</t>
  </si>
  <si>
    <t>Pufferspeicher</t>
  </si>
  <si>
    <t>WW-Speicher</t>
  </si>
  <si>
    <t>Kombispeicher</t>
  </si>
  <si>
    <t>WW-Speicher intergriert; Volumen [l]</t>
  </si>
  <si>
    <t>Nennleistung [kW]</t>
  </si>
  <si>
    <t>Preis</t>
  </si>
  <si>
    <t>Quelle</t>
  </si>
  <si>
    <t>Vorlauf bis</t>
  </si>
  <si>
    <t>ETAs 35°C</t>
  </si>
  <si>
    <t>ETAs 55°C</t>
  </si>
  <si>
    <t>Stiftung Warentest 08/2024 Note 2,3</t>
  </si>
  <si>
    <t>Pufferspeicher integriert; Volumen [l]</t>
  </si>
  <si>
    <t>Kältemittel</t>
  </si>
  <si>
    <t>Buderus Luft-Wasser-Wärmepumpe Logaplus WLW186i-4 AR T180 mit integriertem Warmwasserspeicher 180l, schwarz - 7739624122</t>
  </si>
  <si>
    <t>Zuheizer [kW]</t>
  </si>
  <si>
    <t>https://www.heima24.de</t>
  </si>
  <si>
    <t>R290</t>
  </si>
  <si>
    <t>SCOP 35°</t>
  </si>
  <si>
    <t>SCOP 55°</t>
  </si>
  <si>
    <t>Schalldruck in 3m Abstand  ErP</t>
  </si>
  <si>
    <t>Buderus Luft-Wasser-Wärmepumpe Logatherm WLW196i-14 AR T190 mit integriertem Warmwasserspeicher 190l, schwarz - 7739610228</t>
  </si>
  <si>
    <t>R410A</t>
  </si>
  <si>
    <t>&lt;6kW</t>
  </si>
  <si>
    <t>Montage WP</t>
  </si>
  <si>
    <t>Zubehör</t>
  </si>
  <si>
    <t>Summe</t>
  </si>
  <si>
    <t>Sole-Wärmepumpe</t>
  </si>
  <si>
    <t>Buderus WSW186i T180 Wärmepumpenpaket Logaplus WSW186 T2 inklusive Sole/Wasser-Wärmepumpe Logatherm WSW186i-6 T180 und Bedieneinheit RC100H</t>
  </si>
  <si>
    <t>https://www.heizungsdiscount24.de/</t>
  </si>
  <si>
    <t>Gaskessel Referenz</t>
  </si>
  <si>
    <t>Buderus GB172i.2-20 KD, 20 kW Gas-Kombitherme Logamax plus GB172i.2, Erdgas</t>
  </si>
  <si>
    <t>mit Regelung, Anschlussset, Abgaspaket, integrierte Warmwasserbereitung</t>
  </si>
  <si>
    <t>Gaskessel</t>
  </si>
  <si>
    <t>Buderus Heizkreis-Set HSM25/6, 1 HK mit Mischer DN 25</t>
  </si>
  <si>
    <t>Buderus Zirkulationspumpenkit, mit Schwerkraftbremse &amp; Anschlussverschraubungen</t>
  </si>
  <si>
    <t>Anzahl Wohneinheiten</t>
  </si>
  <si>
    <t>Energetischer Standard Wohngebäude für Infrarotheizung erfüllt?</t>
  </si>
  <si>
    <t>Lambda</t>
  </si>
  <si>
    <t>Atmos Pelletkessel PX20, 6 - 20 kW, platzsparend, mit kurzer Förderschnecke</t>
  </si>
  <si>
    <t xml:space="preserve">Pelletkessel Referenz </t>
  </si>
  <si>
    <t>Fröling Pelletkessel Pelletskessel PE1 20 kW Pelletheizung Lambdatronic P 3200</t>
  </si>
  <si>
    <t>https://www.hood.de/</t>
  </si>
  <si>
    <t>Effizienz der Anlage</t>
  </si>
  <si>
    <t>CO2-Faktor Gas</t>
  </si>
  <si>
    <t>CO2-Faktor Heizöl</t>
  </si>
  <si>
    <t>CO2-Faktor Strommix</t>
  </si>
  <si>
    <t>https://www.umweltbundesamt.de/themen/co2-emissionen-pro-kilowattstunde-strom-2023</t>
  </si>
  <si>
    <t>bisheriger Energieverbrauch</t>
  </si>
  <si>
    <t>Heizöl</t>
  </si>
  <si>
    <t>Erdgas</t>
  </si>
  <si>
    <t>Wärmepumpe</t>
  </si>
  <si>
    <t>kg/kWh</t>
  </si>
  <si>
    <t>CO2-Ausstoß in Tonnen</t>
  </si>
  <si>
    <t>Preis Heizöl</t>
  </si>
  <si>
    <t>Preis Erdgas</t>
  </si>
  <si>
    <t>Preis Strom</t>
  </si>
  <si>
    <t>Preis Strom mit PV</t>
  </si>
  <si>
    <t>Wärmepumpe mit 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</si>
</sst>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#,##0.00\ &quot;€&quot;"/>
    <numFmt numFmtId="167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0" fillId="0" borderId="1" xfId="0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/>
    <xf numFmtId="0" fontId="5" fillId="0" borderId="1" xfId="0" applyFont="1" applyBorder="1" applyAlignment="1">
      <alignment vertical="center"/>
    </xf>
    <xf numFmtId="3" fontId="0" fillId="0" borderId="1" xfId="0" applyNumberFormat="1" applyBorder="1"/>
    <xf numFmtId="3" fontId="1" fillId="0" borderId="1" xfId="0" applyNumberFormat="1" applyFont="1" applyBorder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1" fontId="0" fillId="0" borderId="1" xfId="0" applyNumberFormat="1" applyBorder="1"/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3" fontId="1" fillId="0" borderId="0" xfId="0" applyNumberFormat="1" applyFont="1"/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6" fillId="2" borderId="0" xfId="0" applyFont="1" applyFill="1"/>
    <xf numFmtId="14" fontId="0" fillId="0" borderId="0" xfId="0" applyNumberFormat="1"/>
    <xf numFmtId="0" fontId="4" fillId="0" borderId="0" xfId="0" applyFont="1"/>
    <xf numFmtId="3" fontId="4" fillId="0" borderId="0" xfId="0" applyNumberFormat="1" applyFont="1"/>
    <xf numFmtId="3" fontId="4" fillId="0" borderId="1" xfId="0" applyNumberFormat="1" applyFont="1" applyBorder="1"/>
    <xf numFmtId="3" fontId="5" fillId="3" borderId="1" xfId="0" applyNumberFormat="1" applyFont="1" applyFill="1" applyBorder="1"/>
    <xf numFmtId="0" fontId="4" fillId="3" borderId="1" xfId="0" applyFont="1" applyFill="1" applyBorder="1"/>
    <xf numFmtId="3" fontId="4" fillId="2" borderId="0" xfId="0" applyNumberFormat="1" applyFont="1" applyFill="1"/>
    <xf numFmtId="164" fontId="4" fillId="0" borderId="0" xfId="0" applyNumberFormat="1" applyFont="1"/>
    <xf numFmtId="3" fontId="4" fillId="3" borderId="1" xfId="0" applyNumberFormat="1" applyFont="1" applyFill="1" applyBorder="1"/>
    <xf numFmtId="0" fontId="5" fillId="0" borderId="0" xfId="0" applyFont="1"/>
    <xf numFmtId="0" fontId="5" fillId="3" borderId="1" xfId="0" applyFont="1" applyFill="1" applyBorder="1"/>
    <xf numFmtId="3" fontId="5" fillId="0" borderId="0" xfId="0" applyNumberFormat="1" applyFont="1"/>
    <xf numFmtId="164" fontId="4" fillId="2" borderId="0" xfId="0" applyNumberFormat="1" applyFont="1" applyFill="1"/>
    <xf numFmtId="165" fontId="4" fillId="0" borderId="0" xfId="0" applyNumberFormat="1" applyFont="1"/>
    <xf numFmtId="1" fontId="4" fillId="2" borderId="0" xfId="0" applyNumberFormat="1" applyFont="1" applyFill="1"/>
    <xf numFmtId="0" fontId="4" fillId="2" borderId="0" xfId="0" applyFont="1" applyFill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66" fontId="0" fillId="0" borderId="0" xfId="0" applyNumberForma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4" borderId="0" xfId="0" applyFill="1" applyAlignment="1">
      <alignment horizontal="right"/>
    </xf>
    <xf numFmtId="2" fontId="0" fillId="4" borderId="0" xfId="0" applyNumberFormat="1" applyFill="1"/>
    <xf numFmtId="1" fontId="0" fillId="4" borderId="0" xfId="0" applyNumberFormat="1" applyFill="1"/>
    <xf numFmtId="0" fontId="0" fillId="5" borderId="0" xfId="0" applyFill="1" applyAlignment="1">
      <alignment horizontal="right"/>
    </xf>
    <xf numFmtId="1" fontId="0" fillId="5" borderId="0" xfId="0" applyNumberFormat="1" applyFill="1"/>
    <xf numFmtId="2" fontId="0" fillId="5" borderId="0" xfId="0" applyNumberFormat="1" applyFill="1"/>
    <xf numFmtId="0" fontId="0" fillId="6" borderId="0" xfId="0" applyFill="1" applyAlignment="1">
      <alignment horizontal="right"/>
    </xf>
    <xf numFmtId="1" fontId="0" fillId="6" borderId="0" xfId="0" applyNumberFormat="1" applyFill="1"/>
    <xf numFmtId="2" fontId="0" fillId="6" borderId="0" xfId="0" applyNumberFormat="1" applyFill="1"/>
    <xf numFmtId="0" fontId="0" fillId="6" borderId="0" xfId="0" applyFill="1"/>
    <xf numFmtId="0" fontId="0" fillId="7" borderId="0" xfId="0" applyFill="1"/>
    <xf numFmtId="164" fontId="0" fillId="5" borderId="0" xfId="0" applyNumberFormat="1" applyFill="1"/>
    <xf numFmtId="0" fontId="4" fillId="0" borderId="2" xfId="0" applyFont="1" applyBorder="1"/>
    <xf numFmtId="0" fontId="5" fillId="0" borderId="2" xfId="0" applyFont="1" applyBorder="1" applyAlignment="1">
      <alignment horizontal="center" wrapText="1"/>
    </xf>
    <xf numFmtId="0" fontId="1" fillId="0" borderId="2" xfId="0" applyFont="1" applyBorder="1"/>
    <xf numFmtId="0" fontId="4" fillId="0" borderId="2" xfId="0" applyFont="1" applyBorder="1" applyAlignment="1">
      <alignment vertical="center"/>
    </xf>
    <xf numFmtId="0" fontId="0" fillId="8" borderId="0" xfId="0" applyFill="1"/>
    <xf numFmtId="0" fontId="0" fillId="2" borderId="0" xfId="0" applyFill="1"/>
    <xf numFmtId="0" fontId="6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 wrapText="1"/>
    </xf>
    <xf numFmtId="3" fontId="10" fillId="2" borderId="0" xfId="0" applyNumberFormat="1" applyFont="1" applyFill="1"/>
    <xf numFmtId="0" fontId="10" fillId="0" borderId="0" xfId="0" applyFont="1" applyAlignment="1">
      <alignment horizontal="center"/>
    </xf>
    <xf numFmtId="3" fontId="10" fillId="0" borderId="0" xfId="0" applyNumberFormat="1" applyFont="1"/>
    <xf numFmtId="3" fontId="10" fillId="7" borderId="0" xfId="0" applyNumberFormat="1" applyFont="1" applyFill="1"/>
    <xf numFmtId="3" fontId="10" fillId="8" borderId="0" xfId="0" applyNumberFormat="1" applyFont="1" applyFill="1"/>
    <xf numFmtId="167" fontId="4" fillId="2" borderId="0" xfId="0" applyNumberFormat="1" applyFont="1" applyFill="1"/>
    <xf numFmtId="0" fontId="0" fillId="0" borderId="0" xfId="0" applyAlignment="1">
      <alignment horizontal="center" vertical="top" wrapText="1"/>
    </xf>
    <xf numFmtId="166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5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0" fillId="0" borderId="2" xfId="0" applyBorder="1"/>
    <xf numFmtId="3" fontId="0" fillId="0" borderId="2" xfId="0" applyNumberFormat="1" applyBorder="1"/>
    <xf numFmtId="165" fontId="0" fillId="2" borderId="0" xfId="0" applyNumberFormat="1" applyFill="1" applyAlignment="1">
      <alignment vertical="top"/>
    </xf>
    <xf numFmtId="2" fontId="4" fillId="2" borderId="0" xfId="0" applyNumberFormat="1" applyFont="1" applyFill="1"/>
    <xf numFmtId="0" fontId="11" fillId="0" borderId="0" xfId="1"/>
    <xf numFmtId="0" fontId="5" fillId="0" borderId="0" xfId="0" applyFont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CO2-Ausstoß [kg]in Abhängigkeit von der JAZ; </a:t>
            </a:r>
          </a:p>
          <a:p>
            <a:pPr>
              <a:defRPr/>
            </a:pPr>
            <a:r>
              <a:rPr lang="de-DE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Basis 20.000kWh/a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Tabelle1!$B$5</c:f>
              <c:strCache>
                <c:ptCount val="1"/>
                <c:pt idx="0">
                  <c:v>Heizöl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Tabelle1!$C$4:$K$4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cat>
          <c:val>
            <c:numRef>
              <c:f>Tabelle1!$C$5:$K$5</c:f>
              <c:numCache>
                <c:formatCode>#,##0</c:formatCode>
                <c:ptCount val="9"/>
                <c:pt idx="0">
                  <c:v>6040</c:v>
                </c:pt>
                <c:pt idx="1">
                  <c:v>6040</c:v>
                </c:pt>
                <c:pt idx="2">
                  <c:v>6040</c:v>
                </c:pt>
                <c:pt idx="3">
                  <c:v>6040</c:v>
                </c:pt>
                <c:pt idx="4">
                  <c:v>6040</c:v>
                </c:pt>
                <c:pt idx="5">
                  <c:v>6040</c:v>
                </c:pt>
                <c:pt idx="6">
                  <c:v>6040</c:v>
                </c:pt>
                <c:pt idx="7">
                  <c:v>6040</c:v>
                </c:pt>
                <c:pt idx="8">
                  <c:v>6040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2-4056-B3B8-8BA28BEF4760}"/>
            </c:ext>
          </c:extLst>
        </c:ser>
        <c:ser>
          <c:idx val="1"/>
          <c:order val="1"/>
          <c:tx>
            <c:strRef>
              <c:f>Tabelle1!$B$6</c:f>
              <c:strCache>
                <c:ptCount val="1"/>
                <c:pt idx="0">
                  <c:v>Erdgas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Tabelle1!$C$4:$K$4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cat>
          <c:val>
            <c:numRef>
              <c:f>Tabelle1!$C$6:$K$6</c:f>
              <c:numCache>
                <c:formatCode>#,##0</c:formatCode>
                <c:ptCount val="9"/>
                <c:pt idx="0">
                  <c:v>4880</c:v>
                </c:pt>
                <c:pt idx="1">
                  <c:v>4880</c:v>
                </c:pt>
                <c:pt idx="2">
                  <c:v>4880</c:v>
                </c:pt>
                <c:pt idx="3">
                  <c:v>4880</c:v>
                </c:pt>
                <c:pt idx="4">
                  <c:v>4880</c:v>
                </c:pt>
                <c:pt idx="5">
                  <c:v>4880</c:v>
                </c:pt>
                <c:pt idx="6">
                  <c:v>4880</c:v>
                </c:pt>
                <c:pt idx="7">
                  <c:v>4880</c:v>
                </c:pt>
                <c:pt idx="8">
                  <c:v>4880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2-4056-B3B8-8BA28BEF4760}"/>
            </c:ext>
          </c:extLst>
        </c:ser>
        <c:ser>
          <c:idx val="2"/>
          <c:order val="2"/>
          <c:tx>
            <c:strRef>
              <c:f>Tabelle1!$B$7</c:f>
              <c:strCache>
                <c:ptCount val="1"/>
                <c:pt idx="0">
                  <c:v>Wärmepumpe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Tabelle1!$C$4:$K$4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cat>
          <c:val>
            <c:numRef>
              <c:f>Tabelle1!$C$7:$K$7</c:f>
              <c:numCache>
                <c:formatCode>#,##0</c:formatCode>
                <c:ptCount val="9"/>
                <c:pt idx="0">
                  <c:v>7600</c:v>
                </c:pt>
                <c:pt idx="1">
                  <c:v>5066.666666666667</c:v>
                </c:pt>
                <c:pt idx="2">
                  <c:v>3800</c:v>
                </c:pt>
                <c:pt idx="3">
                  <c:v>3040</c:v>
                </c:pt>
                <c:pt idx="4">
                  <c:v>2533.3333333333335</c:v>
                </c:pt>
                <c:pt idx="5">
                  <c:v>2171.4285714285716</c:v>
                </c:pt>
                <c:pt idx="6">
                  <c:v>1900</c:v>
                </c:pt>
                <c:pt idx="7">
                  <c:v>1688.8888888888889</c:v>
                </c:pt>
                <c:pt idx="8">
                  <c:v>1520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12-4056-B3B8-8BA28BEF4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785056"/>
        <c:axId val="664789736"/>
      </c:lineChart>
      <c:catAx>
        <c:axId val="66478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4789736"/>
        <c:crosses val="autoZero"/>
        <c:auto val="1"/>
        <c:lblAlgn val="ctr"/>
        <c:lblOffset val="100"/>
        <c:noMultiLvlLbl val="0"/>
      </c:catAx>
      <c:valAx>
        <c:axId val="66478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478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Energiekosten [€] in Abhängigkeit von der JAZ; Ohne Preissteigerungen </a:t>
            </a:r>
            <a:r>
              <a:rPr lang="de-DE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Basis 20.000kWh</a:t>
            </a:r>
            <a:endParaRPr lang="de-DE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Tabelle1!$B$11</c:f>
              <c:strCache>
                <c:ptCount val="1"/>
                <c:pt idx="0">
                  <c:v>Heizöl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Tabelle1!$C$10:$K$10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cat>
          <c:val>
            <c:numRef>
              <c:f>Tabelle1!$C$11:$K$11</c:f>
              <c:numCache>
                <c:formatCode>#,##0</c:formatCode>
                <c:ptCount val="9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8B-4F5F-8A0F-BD751C828149}"/>
            </c:ext>
          </c:extLst>
        </c:ser>
        <c:ser>
          <c:idx val="1"/>
          <c:order val="1"/>
          <c:tx>
            <c:strRef>
              <c:f>Tabelle1!$B$12</c:f>
              <c:strCache>
                <c:ptCount val="1"/>
                <c:pt idx="0">
                  <c:v>Erdgas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Tabelle1!$C$10:$K$10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cat>
          <c:val>
            <c:numRef>
              <c:f>Tabelle1!$C$12:$K$12</c:f>
              <c:numCache>
                <c:formatCode>#,##0</c:formatCode>
                <c:ptCount val="9"/>
                <c:pt idx="0">
                  <c:v>1800</c:v>
                </c:pt>
                <c:pt idx="1">
                  <c:v>1800</c:v>
                </c:pt>
                <c:pt idx="2">
                  <c:v>1800</c:v>
                </c:pt>
                <c:pt idx="3">
                  <c:v>1800</c:v>
                </c:pt>
                <c:pt idx="4">
                  <c:v>1800</c:v>
                </c:pt>
                <c:pt idx="5">
                  <c:v>1800</c:v>
                </c:pt>
                <c:pt idx="6">
                  <c:v>1800</c:v>
                </c:pt>
                <c:pt idx="7">
                  <c:v>1800</c:v>
                </c:pt>
                <c:pt idx="8">
                  <c:v>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B-4F5F-8A0F-BD751C828149}"/>
            </c:ext>
          </c:extLst>
        </c:ser>
        <c:ser>
          <c:idx val="2"/>
          <c:order val="2"/>
          <c:tx>
            <c:strRef>
              <c:f>Tabelle1!$B$13</c:f>
              <c:strCache>
                <c:ptCount val="1"/>
                <c:pt idx="0">
                  <c:v>Wärmepumpe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Tabelle1!$C$10:$K$10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cat>
          <c:val>
            <c:numRef>
              <c:f>Tabelle1!$C$13:$K$13</c:f>
              <c:numCache>
                <c:formatCode>#,##0</c:formatCode>
                <c:ptCount val="9"/>
                <c:pt idx="0">
                  <c:v>5200</c:v>
                </c:pt>
                <c:pt idx="1">
                  <c:v>3466.6666666666665</c:v>
                </c:pt>
                <c:pt idx="2">
                  <c:v>2600</c:v>
                </c:pt>
                <c:pt idx="3">
                  <c:v>2080</c:v>
                </c:pt>
                <c:pt idx="4">
                  <c:v>1733.3333333333333</c:v>
                </c:pt>
                <c:pt idx="5">
                  <c:v>1485.7142857142858</c:v>
                </c:pt>
                <c:pt idx="6">
                  <c:v>1300</c:v>
                </c:pt>
                <c:pt idx="7">
                  <c:v>1155.5555555555557</c:v>
                </c:pt>
                <c:pt idx="8">
                  <c:v>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8B-4F5F-8A0F-BD751C828149}"/>
            </c:ext>
          </c:extLst>
        </c:ser>
        <c:ser>
          <c:idx val="3"/>
          <c:order val="3"/>
          <c:tx>
            <c:strRef>
              <c:f>Tabelle1!$B$14</c:f>
              <c:strCache>
                <c:ptCount val="1"/>
                <c:pt idx="0">
                  <c:v>Wärmepumpe mit PV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Tabelle1!$C$10:$K$10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cat>
          <c:val>
            <c:numRef>
              <c:f>Tabelle1!$C$14:$K$14</c:f>
              <c:numCache>
                <c:formatCode>#,##0</c:formatCode>
                <c:ptCount val="9"/>
                <c:pt idx="0">
                  <c:v>4000</c:v>
                </c:pt>
                <c:pt idx="1">
                  <c:v>2666.6666666666665</c:v>
                </c:pt>
                <c:pt idx="2">
                  <c:v>2000</c:v>
                </c:pt>
                <c:pt idx="3">
                  <c:v>1600</c:v>
                </c:pt>
                <c:pt idx="4">
                  <c:v>1333.3333333333333</c:v>
                </c:pt>
                <c:pt idx="5">
                  <c:v>1142.8571428571429</c:v>
                </c:pt>
                <c:pt idx="6">
                  <c:v>1000</c:v>
                </c:pt>
                <c:pt idx="7">
                  <c:v>888.88888888888891</c:v>
                </c:pt>
                <c:pt idx="8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8B-4F5F-8A0F-BD751C828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802336"/>
        <c:axId val="664802696"/>
      </c:lineChart>
      <c:catAx>
        <c:axId val="66480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4802696"/>
        <c:crosses val="autoZero"/>
        <c:auto val="1"/>
        <c:lblAlgn val="ctr"/>
        <c:lblOffset val="100"/>
        <c:noMultiLvlLbl val="0"/>
      </c:catAx>
      <c:valAx>
        <c:axId val="664802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480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5</xdr:row>
      <xdr:rowOff>85725</xdr:rowOff>
    </xdr:from>
    <xdr:to>
      <xdr:col>17</xdr:col>
      <xdr:colOff>495300</xdr:colOff>
      <xdr:row>20</xdr:row>
      <xdr:rowOff>133350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1B63E98C-992B-580E-866D-C5AE6C6D92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247650</xdr:colOff>
      <xdr:row>21</xdr:row>
      <xdr:rowOff>76199</xdr:rowOff>
    </xdr:from>
    <xdr:to>
      <xdr:col>17</xdr:col>
      <xdr:colOff>514350</xdr:colOff>
      <xdr:row>36</xdr:row>
      <xdr:rowOff>123824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86027A21-3232-1F80-533F-1C937AA9E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umweltbundesamt.de/themen/co2-emissionen-pro-kilowattstunde-strom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3C6F4-691F-4F4D-82C0-3C93DBEE72D7}">
  <dimension ref="A1:P28"/>
  <sheetViews>
    <sheetView tabSelected="1" workbookViewId="0">
      <selection activeCell="B28" sqref="B28"/>
    </sheetView>
  </sheetViews>
  <sheetFormatPr baseColWidth="10" defaultRowHeight="15" x14ac:dyDescent="0.25"/>
  <cols>
    <col min="1" max="1" width="3.85546875" customWidth="1"/>
    <col min="2" max="2" width="41.5703125" customWidth="1"/>
    <col min="4" max="4" width="7.140625" customWidth="1"/>
    <col min="5" max="5" width="16.140625" customWidth="1"/>
    <col min="6" max="6" width="6.85546875" customWidth="1"/>
    <col min="7" max="7" width="7.85546875" customWidth="1"/>
    <col min="8" max="8" width="15.42578125" customWidth="1"/>
  </cols>
  <sheetData>
    <row r="1" spans="1:11" x14ac:dyDescent="0.25">
      <c r="A1" s="1" t="s">
        <v>167</v>
      </c>
    </row>
    <row r="2" spans="1:11" x14ac:dyDescent="0.25">
      <c r="A2" t="s">
        <v>168</v>
      </c>
    </row>
    <row r="3" spans="1:11" x14ac:dyDescent="0.25">
      <c r="A3" t="s">
        <v>193</v>
      </c>
    </row>
    <row r="5" spans="1:11" x14ac:dyDescent="0.25">
      <c r="B5" s="21" t="s">
        <v>80</v>
      </c>
      <c r="C5" s="35">
        <v>20</v>
      </c>
      <c r="D5" s="21" t="s">
        <v>81</v>
      </c>
      <c r="H5" t="s">
        <v>169</v>
      </c>
    </row>
    <row r="6" spans="1:11" x14ac:dyDescent="0.25">
      <c r="B6" s="13"/>
      <c r="C6" s="13"/>
    </row>
    <row r="7" spans="1:11" x14ac:dyDescent="0.25">
      <c r="B7" s="13" t="s">
        <v>48</v>
      </c>
      <c r="C7" s="32">
        <v>0.1</v>
      </c>
      <c r="D7" s="13" t="s">
        <v>63</v>
      </c>
      <c r="H7" s="14" t="s">
        <v>46</v>
      </c>
      <c r="I7" s="14" t="s">
        <v>47</v>
      </c>
      <c r="J7" s="13"/>
      <c r="K7" s="13"/>
    </row>
    <row r="8" spans="1:11" x14ac:dyDescent="0.25">
      <c r="B8" s="13" t="s">
        <v>49</v>
      </c>
      <c r="C8" s="32">
        <v>0.3</v>
      </c>
      <c r="D8" s="13" t="s">
        <v>63</v>
      </c>
      <c r="H8" s="15">
        <f t="shared" ref="H8:I10" si="0">1+((J8-1)/2)</f>
        <v>1.2429736979891772</v>
      </c>
      <c r="I8" s="15">
        <f t="shared" si="0"/>
        <v>1.5955615715167106</v>
      </c>
      <c r="J8" s="15">
        <f>POWER(1.02,C5)</f>
        <v>1.4859473959783542</v>
      </c>
      <c r="K8" s="15">
        <f>POWER(1.04,C5)</f>
        <v>2.1911231430334213</v>
      </c>
    </row>
    <row r="9" spans="1:11" x14ac:dyDescent="0.25">
      <c r="B9" s="13" t="s">
        <v>50</v>
      </c>
      <c r="C9" s="27">
        <f>F9/4800</f>
        <v>5.4166666666666669E-2</v>
      </c>
      <c r="D9" s="13" t="s">
        <v>63</v>
      </c>
      <c r="E9" s="65" t="s">
        <v>194</v>
      </c>
      <c r="F9" s="64">
        <v>260</v>
      </c>
      <c r="G9" s="13" t="s">
        <v>195</v>
      </c>
      <c r="H9" s="15">
        <f t="shared" si="0"/>
        <v>1.2429736979891772</v>
      </c>
      <c r="I9" s="15">
        <f t="shared" si="0"/>
        <v>1.5955615715167106</v>
      </c>
      <c r="J9" s="15">
        <f>POWER(1.02,C5)</f>
        <v>1.4859473959783542</v>
      </c>
      <c r="K9" s="15">
        <f>POWER(1.04,C5)</f>
        <v>2.1911231430334213</v>
      </c>
    </row>
    <row r="10" spans="1:11" x14ac:dyDescent="0.25">
      <c r="B10" s="13" t="s">
        <v>51</v>
      </c>
      <c r="C10" s="32">
        <v>0.11</v>
      </c>
      <c r="D10" s="13" t="s">
        <v>63</v>
      </c>
      <c r="H10" s="15">
        <f t="shared" si="0"/>
        <v>1.2429736979891772</v>
      </c>
      <c r="I10" s="15">
        <f t="shared" si="0"/>
        <v>1.5955615715167106</v>
      </c>
      <c r="J10" s="15">
        <f>POWER(1.02,C5)</f>
        <v>1.4859473959783542</v>
      </c>
      <c r="K10" s="15">
        <f>POWER(1.04,C5)</f>
        <v>2.1911231430334213</v>
      </c>
    </row>
    <row r="11" spans="1:11" x14ac:dyDescent="0.25">
      <c r="B11" s="13"/>
      <c r="D11" s="13"/>
      <c r="H11" s="15">
        <v>0.1</v>
      </c>
      <c r="I11" s="15">
        <v>0.1</v>
      </c>
      <c r="J11" s="15"/>
      <c r="K11" s="15"/>
    </row>
    <row r="12" spans="1:11" x14ac:dyDescent="0.25">
      <c r="B12" s="13" t="s">
        <v>171</v>
      </c>
      <c r="C12" s="22">
        <f>E12*0.9</f>
        <v>18000</v>
      </c>
      <c r="D12" s="15" t="s">
        <v>2</v>
      </c>
      <c r="E12" s="26">
        <v>20000</v>
      </c>
      <c r="G12" s="13"/>
      <c r="J12" s="15"/>
      <c r="K12" s="15"/>
    </row>
    <row r="13" spans="1:11" x14ac:dyDescent="0.25">
      <c r="B13" s="13" t="s">
        <v>52</v>
      </c>
      <c r="C13" s="22">
        <f>C12-C14</f>
        <v>15840</v>
      </c>
      <c r="D13" s="13" t="s">
        <v>2</v>
      </c>
      <c r="E13" s="22">
        <f>E12-E14</f>
        <v>17600</v>
      </c>
      <c r="F13" s="13"/>
      <c r="G13" s="13"/>
    </row>
    <row r="14" spans="1:11" x14ac:dyDescent="0.25">
      <c r="B14" s="13" t="s">
        <v>78</v>
      </c>
      <c r="C14" s="22">
        <f>E14*0.9</f>
        <v>2160</v>
      </c>
      <c r="D14" s="13" t="s">
        <v>2</v>
      </c>
      <c r="E14" s="26">
        <f>3*800</f>
        <v>2400</v>
      </c>
      <c r="F14" s="13"/>
      <c r="G14" s="13"/>
    </row>
    <row r="15" spans="1:11" x14ac:dyDescent="0.25">
      <c r="B15" s="13" t="s">
        <v>196</v>
      </c>
      <c r="C15" s="26">
        <v>2500</v>
      </c>
      <c r="D15" s="13" t="s">
        <v>2</v>
      </c>
      <c r="E15" s="15"/>
      <c r="F15" s="13"/>
      <c r="G15" s="13"/>
    </row>
    <row r="16" spans="1:11" x14ac:dyDescent="0.25">
      <c r="B16" s="13"/>
      <c r="D16" s="13"/>
      <c r="E16" s="15"/>
      <c r="F16" s="13"/>
      <c r="G16" s="13"/>
      <c r="H16" t="s">
        <v>173</v>
      </c>
      <c r="I16" s="63">
        <f>(C13+C14)/2000</f>
        <v>9</v>
      </c>
      <c r="J16" s="63" t="s">
        <v>79</v>
      </c>
    </row>
    <row r="17" spans="2:16" x14ac:dyDescent="0.25">
      <c r="B17" s="13" t="s">
        <v>119</v>
      </c>
      <c r="C17" s="76">
        <v>10</v>
      </c>
      <c r="D17" s="13" t="s">
        <v>120</v>
      </c>
      <c r="H17" t="s">
        <v>174</v>
      </c>
      <c r="I17" t="s">
        <v>228</v>
      </c>
      <c r="J17" t="s">
        <v>69</v>
      </c>
      <c r="K17" t="s">
        <v>70</v>
      </c>
      <c r="L17" t="s">
        <v>71</v>
      </c>
      <c r="M17" t="s">
        <v>72</v>
      </c>
      <c r="N17" t="s">
        <v>73</v>
      </c>
      <c r="P17" t="s">
        <v>238</v>
      </c>
    </row>
    <row r="18" spans="2:16" x14ac:dyDescent="0.25">
      <c r="B18" s="13" t="s">
        <v>123</v>
      </c>
      <c r="C18" s="26">
        <v>5</v>
      </c>
      <c r="D18" s="13" t="s">
        <v>2</v>
      </c>
      <c r="E18" s="15"/>
      <c r="F18" s="13"/>
      <c r="G18" s="13"/>
      <c r="H18" t="s">
        <v>68</v>
      </c>
      <c r="I18" s="5">
        <f>Wärmepumpe!Q5</f>
        <v>9292.7999999999993</v>
      </c>
      <c r="J18" s="5">
        <f>Wärmepumpe!Q7</f>
        <v>10213.799999999999</v>
      </c>
      <c r="K18" s="5">
        <f>Wärmepumpe!Q8</f>
        <v>12288</v>
      </c>
      <c r="L18" s="5">
        <f>Wärmepumpe!Q9</f>
        <v>13276.9</v>
      </c>
      <c r="M18" s="5">
        <f>L18+5000</f>
        <v>18276.900000000001</v>
      </c>
      <c r="N18" s="5">
        <f>M18+5000</f>
        <v>23276.9</v>
      </c>
      <c r="P18" s="79">
        <v>3525.9</v>
      </c>
    </row>
    <row r="19" spans="2:16" x14ac:dyDescent="0.25">
      <c r="B19" s="15" t="s">
        <v>170</v>
      </c>
      <c r="C19" s="19" t="s">
        <v>128</v>
      </c>
      <c r="E19" s="13" t="s">
        <v>127</v>
      </c>
      <c r="F19">
        <f ca="1">SUMIF(Konstanten!A1:B8,C19,Konstanten!B1:B8)</f>
        <v>950</v>
      </c>
      <c r="G19" t="s">
        <v>165</v>
      </c>
      <c r="H19" t="s">
        <v>230</v>
      </c>
      <c r="I19">
        <v>1000</v>
      </c>
      <c r="J19">
        <v>1200</v>
      </c>
      <c r="K19">
        <v>1200</v>
      </c>
      <c r="L19">
        <v>1400</v>
      </c>
      <c r="M19">
        <v>1400</v>
      </c>
      <c r="N19">
        <v>2000</v>
      </c>
      <c r="P19">
        <v>1000</v>
      </c>
    </row>
    <row r="20" spans="2:16" x14ac:dyDescent="0.25">
      <c r="B20" s="13"/>
      <c r="C20" s="26"/>
      <c r="D20" s="13"/>
      <c r="E20" s="15"/>
      <c r="F20" s="13"/>
      <c r="G20" s="13"/>
      <c r="H20" s="84" t="s">
        <v>229</v>
      </c>
      <c r="I20" s="85">
        <f t="shared" ref="I20:J20" si="1">40*60</f>
        <v>2400</v>
      </c>
      <c r="J20" s="85">
        <f t="shared" si="1"/>
        <v>2400</v>
      </c>
      <c r="K20" s="85">
        <f>50*60</f>
        <v>3000</v>
      </c>
      <c r="L20" s="85">
        <f>50*60</f>
        <v>3000</v>
      </c>
      <c r="M20" s="85">
        <f>50*60</f>
        <v>3000</v>
      </c>
      <c r="N20" s="85">
        <f>80*60</f>
        <v>4800</v>
      </c>
      <c r="P20" s="84">
        <v>2400</v>
      </c>
    </row>
    <row r="21" spans="2:16" x14ac:dyDescent="0.25">
      <c r="B21" s="13" t="s">
        <v>172</v>
      </c>
      <c r="C21" s="33">
        <f>IF(F21&gt;65,"prüfen",IF(F21&gt;55,3,IF(F21&gt;45,3.5,IF(F21&gt;40,3.7,IF(F21&gt;34,3.9,"Fehler")))))</f>
        <v>3.7</v>
      </c>
      <c r="D21" s="13"/>
      <c r="E21" s="15" t="s">
        <v>66</v>
      </c>
      <c r="F21" s="19">
        <v>45</v>
      </c>
      <c r="G21" s="13" t="s">
        <v>67</v>
      </c>
      <c r="H21" t="s">
        <v>231</v>
      </c>
      <c r="I21" s="5">
        <f>SUM(I18:I20)</f>
        <v>12692.8</v>
      </c>
      <c r="J21" s="5">
        <f t="shared" ref="J21:P21" si="2">SUM(J18:J20)</f>
        <v>13813.8</v>
      </c>
      <c r="K21" s="5">
        <f t="shared" si="2"/>
        <v>16488</v>
      </c>
      <c r="L21" s="5">
        <f t="shared" si="2"/>
        <v>17676.900000000001</v>
      </c>
      <c r="M21" s="5">
        <f t="shared" si="2"/>
        <v>22676.9</v>
      </c>
      <c r="N21" s="5">
        <f t="shared" si="2"/>
        <v>30076.9</v>
      </c>
      <c r="P21" s="5">
        <f t="shared" si="2"/>
        <v>6925.9</v>
      </c>
    </row>
    <row r="22" spans="2:16" x14ac:dyDescent="0.25">
      <c r="B22" s="13"/>
      <c r="D22" s="13"/>
      <c r="E22" s="15"/>
      <c r="F22" s="13"/>
      <c r="G22" s="13"/>
      <c r="J22" s="5"/>
      <c r="K22" s="5"/>
      <c r="L22" s="5"/>
      <c r="M22" s="5"/>
    </row>
    <row r="23" spans="2:16" x14ac:dyDescent="0.25">
      <c r="B23" s="13" t="s">
        <v>241</v>
      </c>
      <c r="C23" s="64">
        <v>1</v>
      </c>
      <c r="E23" s="15"/>
      <c r="F23" s="13"/>
      <c r="G23" s="13"/>
      <c r="H23" t="s">
        <v>74</v>
      </c>
      <c r="I23" s="5">
        <f>IF(I16&lt;6,I21,IF(I16&lt;8,J21, IF(I16&lt;12,K21,IF(I16&lt;14,L21,IF(I16&lt;20,M21,N21)))))</f>
        <v>16488</v>
      </c>
    </row>
    <row r="24" spans="2:16" x14ac:dyDescent="0.25">
      <c r="B24" s="13" t="s">
        <v>64</v>
      </c>
      <c r="C24" s="34">
        <v>50</v>
      </c>
      <c r="D24" s="13" t="s">
        <v>53</v>
      </c>
      <c r="E24" s="15"/>
      <c r="F24" s="13"/>
      <c r="G24" s="13"/>
    </row>
    <row r="25" spans="2:16" x14ac:dyDescent="0.25">
      <c r="B25" s="13" t="s">
        <v>65</v>
      </c>
      <c r="C25" s="34">
        <v>20</v>
      </c>
      <c r="D25" s="13" t="s">
        <v>53</v>
      </c>
    </row>
    <row r="26" spans="2:16" x14ac:dyDescent="0.25">
      <c r="B26" s="13" t="s">
        <v>62</v>
      </c>
      <c r="C26" s="34">
        <v>50</v>
      </c>
      <c r="D26" s="13" t="s">
        <v>53</v>
      </c>
      <c r="G26" s="13"/>
      <c r="H26" s="20"/>
    </row>
    <row r="27" spans="2:16" x14ac:dyDescent="0.25">
      <c r="E27" s="15"/>
      <c r="F27" s="13"/>
      <c r="G27" s="13"/>
      <c r="H27" s="20"/>
    </row>
    <row r="28" spans="2:16" x14ac:dyDescent="0.25">
      <c r="B28" s="13" t="s">
        <v>242</v>
      </c>
      <c r="C28" s="34">
        <v>1</v>
      </c>
      <c r="E28" s="15"/>
      <c r="F28" s="13"/>
      <c r="G28" s="13"/>
    </row>
  </sheetData>
  <pageMargins left="0.25" right="0.25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BEABEF7F-F951-4C39-8615-9118079596E8}">
          <x14:formula1>
            <xm:f>Konstanten!$A$1:$A$8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CC00F-3B1E-4798-8CBD-5C74C4C1405C}">
  <dimension ref="A1:AD63"/>
  <sheetViews>
    <sheetView zoomScale="110" zoomScaleNormal="110" workbookViewId="0">
      <selection activeCell="J42" sqref="J42"/>
    </sheetView>
  </sheetViews>
  <sheetFormatPr baseColWidth="10" defaultRowHeight="15" x14ac:dyDescent="0.25"/>
  <cols>
    <col min="1" max="1" width="3.85546875" customWidth="1"/>
    <col min="2" max="2" width="37.28515625" customWidth="1"/>
    <col min="3" max="10" width="14.5703125" customWidth="1"/>
    <col min="11" max="11" width="4.140625" customWidth="1"/>
    <col min="14" max="14" width="17.28515625" customWidth="1"/>
    <col min="15" max="15" width="17.42578125" customWidth="1"/>
    <col min="21" max="21" width="3.85546875" customWidth="1"/>
  </cols>
  <sheetData>
    <row r="1" spans="1:30" x14ac:dyDescent="0.25">
      <c r="A1" s="1" t="s">
        <v>176</v>
      </c>
    </row>
    <row r="3" spans="1:30" x14ac:dyDescent="0.25">
      <c r="A3" t="s">
        <v>177</v>
      </c>
    </row>
    <row r="4" spans="1:30" ht="90" customHeight="1" x14ac:dyDescent="0.25">
      <c r="A4" s="3" t="s">
        <v>180</v>
      </c>
      <c r="B4" s="59"/>
      <c r="C4" s="60" t="s">
        <v>19</v>
      </c>
      <c r="D4" s="60" t="s">
        <v>20</v>
      </c>
      <c r="E4" s="60" t="s">
        <v>1</v>
      </c>
      <c r="F4" s="60" t="s">
        <v>28</v>
      </c>
      <c r="G4" s="60" t="s">
        <v>76</v>
      </c>
      <c r="H4" s="60" t="s">
        <v>75</v>
      </c>
      <c r="I4" s="60" t="s">
        <v>41</v>
      </c>
      <c r="J4" s="60" t="s">
        <v>166</v>
      </c>
      <c r="K4" s="89" t="s">
        <v>181</v>
      </c>
      <c r="L4" s="89"/>
      <c r="M4" s="9" t="s">
        <v>19</v>
      </c>
      <c r="N4" s="9" t="s">
        <v>45</v>
      </c>
      <c r="O4" s="9" t="s">
        <v>1</v>
      </c>
      <c r="P4" s="9" t="s">
        <v>28</v>
      </c>
      <c r="Q4" s="9" t="s">
        <v>76</v>
      </c>
      <c r="R4" s="9" t="s">
        <v>75</v>
      </c>
      <c r="S4" s="9" t="s">
        <v>41</v>
      </c>
      <c r="T4" s="9" t="str">
        <f>J4</f>
        <v>Infrarotheizung mit PV-Anlage</v>
      </c>
      <c r="U4" s="89" t="s">
        <v>182</v>
      </c>
      <c r="V4" s="89"/>
      <c r="W4" s="9" t="s">
        <v>19</v>
      </c>
      <c r="X4" s="9" t="s">
        <v>45</v>
      </c>
      <c r="Y4" s="9" t="s">
        <v>1</v>
      </c>
      <c r="Z4" s="9" t="s">
        <v>28</v>
      </c>
      <c r="AA4" s="9" t="s">
        <v>29</v>
      </c>
      <c r="AB4" s="9" t="s">
        <v>30</v>
      </c>
      <c r="AC4" s="9" t="s">
        <v>41</v>
      </c>
      <c r="AD4" t="str">
        <f>T4</f>
        <v>Infrarotheizung mit PV-Anlage</v>
      </c>
    </row>
    <row r="5" spans="1:30" x14ac:dyDescent="0.25">
      <c r="B5" s="4" t="s">
        <v>4</v>
      </c>
      <c r="C5" s="22">
        <v>500</v>
      </c>
      <c r="D5" s="22">
        <v>500</v>
      </c>
      <c r="E5" s="22">
        <v>500</v>
      </c>
      <c r="F5" s="22">
        <v>500</v>
      </c>
      <c r="G5" s="22">
        <v>500</v>
      </c>
      <c r="H5" s="22">
        <v>500</v>
      </c>
      <c r="I5" s="22">
        <v>500</v>
      </c>
      <c r="J5" s="22">
        <v>500</v>
      </c>
      <c r="L5" s="4" t="s">
        <v>4</v>
      </c>
      <c r="M5" s="5">
        <f t="shared" ref="M5:M18" si="0">C5</f>
        <v>500</v>
      </c>
      <c r="N5" s="5">
        <f t="shared" ref="N5:N18" si="1">D5</f>
        <v>500</v>
      </c>
      <c r="O5" s="5">
        <f t="shared" ref="O5:O18" si="2">E5</f>
        <v>500</v>
      </c>
      <c r="P5" s="5">
        <f t="shared" ref="P5:P18" si="3">F5</f>
        <v>500</v>
      </c>
      <c r="Q5" s="5">
        <f t="shared" ref="Q5:Q18" si="4">G5</f>
        <v>500</v>
      </c>
      <c r="R5" s="5">
        <f t="shared" ref="R5:R18" si="5">H5</f>
        <v>500</v>
      </c>
      <c r="S5" s="5">
        <f t="shared" ref="S5:S18" si="6">I5</f>
        <v>500</v>
      </c>
      <c r="T5" s="5">
        <f>J5</f>
        <v>500</v>
      </c>
      <c r="V5" s="4" t="s">
        <v>4</v>
      </c>
      <c r="W5" s="5">
        <f>C5</f>
        <v>500</v>
      </c>
      <c r="X5" s="5">
        <f t="shared" ref="X5:X18" si="7">D5</f>
        <v>500</v>
      </c>
      <c r="Y5" s="5">
        <f t="shared" ref="Y5:Y18" si="8">E5</f>
        <v>500</v>
      </c>
      <c r="Z5" s="5">
        <f t="shared" ref="Z5:Z18" si="9">F5</f>
        <v>500</v>
      </c>
      <c r="AA5" s="5">
        <f t="shared" ref="AA5:AA18" si="10">G5</f>
        <v>500</v>
      </c>
      <c r="AB5" s="5">
        <f t="shared" ref="AB5:AB18" si="11">H5</f>
        <v>500</v>
      </c>
      <c r="AC5" s="5">
        <f t="shared" ref="AC5:AD18" si="12">I5</f>
        <v>500</v>
      </c>
      <c r="AD5" s="5">
        <f t="shared" si="12"/>
        <v>500</v>
      </c>
    </row>
    <row r="6" spans="1:30" x14ac:dyDescent="0.25">
      <c r="B6" s="4" t="s">
        <v>5</v>
      </c>
      <c r="C6" s="22">
        <f>Eingaben!P21</f>
        <v>6925.9</v>
      </c>
      <c r="D6" s="22">
        <f>Eingaben!I23</f>
        <v>16488</v>
      </c>
      <c r="E6" s="22">
        <v>20000</v>
      </c>
      <c r="F6" s="22">
        <v>6000</v>
      </c>
      <c r="G6" s="22">
        <f>Eingaben!I23*1.2+10000</f>
        <v>29785.599999999999</v>
      </c>
      <c r="H6" s="22">
        <f>Eingaben!I23+10000</f>
        <v>26488</v>
      </c>
      <c r="I6" s="22">
        <f>D6</f>
        <v>16488</v>
      </c>
      <c r="J6" s="22">
        <f>Eingaben!I16*1200</f>
        <v>10800</v>
      </c>
      <c r="L6" s="4" t="s">
        <v>5</v>
      </c>
      <c r="M6" s="5">
        <f t="shared" si="0"/>
        <v>6925.9</v>
      </c>
      <c r="N6" s="5">
        <f t="shared" si="1"/>
        <v>16488</v>
      </c>
      <c r="O6" s="5">
        <f t="shared" si="2"/>
        <v>20000</v>
      </c>
      <c r="P6" s="5">
        <f t="shared" si="3"/>
        <v>6000</v>
      </c>
      <c r="Q6" s="5">
        <f t="shared" si="4"/>
        <v>29785.599999999999</v>
      </c>
      <c r="R6" s="5">
        <f t="shared" si="5"/>
        <v>26488</v>
      </c>
      <c r="S6" s="5">
        <f t="shared" si="6"/>
        <v>16488</v>
      </c>
      <c r="T6" s="5">
        <f t="shared" ref="T6:T19" si="13">J6</f>
        <v>10800</v>
      </c>
      <c r="V6" s="4" t="s">
        <v>5</v>
      </c>
      <c r="W6" s="5">
        <f t="shared" ref="W6:W18" si="14">C6</f>
        <v>6925.9</v>
      </c>
      <c r="X6" s="5">
        <f t="shared" si="7"/>
        <v>16488</v>
      </c>
      <c r="Y6" s="5">
        <f t="shared" si="8"/>
        <v>20000</v>
      </c>
      <c r="Z6" s="5">
        <f t="shared" si="9"/>
        <v>6000</v>
      </c>
      <c r="AA6" s="5">
        <f t="shared" si="10"/>
        <v>29785.599999999999</v>
      </c>
      <c r="AB6" s="5">
        <f t="shared" si="11"/>
        <v>26488</v>
      </c>
      <c r="AC6" s="5">
        <f t="shared" si="12"/>
        <v>16488</v>
      </c>
      <c r="AD6" s="5">
        <f t="shared" si="12"/>
        <v>10800</v>
      </c>
    </row>
    <row r="7" spans="1:30" x14ac:dyDescent="0.25">
      <c r="B7" s="4" t="s">
        <v>6</v>
      </c>
      <c r="C7" s="22">
        <v>500</v>
      </c>
      <c r="D7" s="22">
        <v>0</v>
      </c>
      <c r="E7" s="22">
        <v>500</v>
      </c>
      <c r="F7" s="22">
        <v>500</v>
      </c>
      <c r="G7" s="22">
        <v>0</v>
      </c>
      <c r="H7" s="22">
        <v>0</v>
      </c>
      <c r="I7" s="22">
        <v>0</v>
      </c>
      <c r="J7" s="22"/>
      <c r="L7" s="4" t="s">
        <v>6</v>
      </c>
      <c r="M7" s="5">
        <f t="shared" si="0"/>
        <v>500</v>
      </c>
      <c r="N7" s="5">
        <f t="shared" si="1"/>
        <v>0</v>
      </c>
      <c r="O7" s="5">
        <f t="shared" si="2"/>
        <v>500</v>
      </c>
      <c r="P7" s="5">
        <f t="shared" si="3"/>
        <v>500</v>
      </c>
      <c r="Q7" s="5">
        <f t="shared" si="4"/>
        <v>0</v>
      </c>
      <c r="R7" s="5">
        <f t="shared" si="5"/>
        <v>0</v>
      </c>
      <c r="S7" s="5">
        <f t="shared" si="6"/>
        <v>0</v>
      </c>
      <c r="T7" s="5">
        <f t="shared" si="13"/>
        <v>0</v>
      </c>
      <c r="V7" s="4" t="s">
        <v>6</v>
      </c>
      <c r="W7" s="5">
        <f t="shared" si="14"/>
        <v>500</v>
      </c>
      <c r="X7" s="5">
        <f t="shared" si="7"/>
        <v>0</v>
      </c>
      <c r="Y7" s="5">
        <f t="shared" si="8"/>
        <v>500</v>
      </c>
      <c r="Z7" s="5">
        <f t="shared" si="9"/>
        <v>500</v>
      </c>
      <c r="AA7" s="5">
        <f t="shared" si="10"/>
        <v>0</v>
      </c>
      <c r="AB7" s="5">
        <f t="shared" si="11"/>
        <v>0</v>
      </c>
      <c r="AC7" s="5">
        <f t="shared" si="12"/>
        <v>0</v>
      </c>
      <c r="AD7" s="5">
        <f t="shared" si="12"/>
        <v>0</v>
      </c>
    </row>
    <row r="8" spans="1:30" x14ac:dyDescent="0.25">
      <c r="B8" s="4" t="s">
        <v>25</v>
      </c>
      <c r="C8" s="22">
        <v>0</v>
      </c>
      <c r="D8" s="22">
        <v>2000</v>
      </c>
      <c r="E8" s="22">
        <v>3000</v>
      </c>
      <c r="F8" s="22">
        <v>0</v>
      </c>
      <c r="G8" s="22">
        <v>2000</v>
      </c>
      <c r="H8" s="22">
        <v>2000</v>
      </c>
      <c r="I8" s="22">
        <v>2000</v>
      </c>
      <c r="J8" s="22">
        <v>2000</v>
      </c>
      <c r="L8" s="4" t="s">
        <v>25</v>
      </c>
      <c r="M8" s="5">
        <f t="shared" si="0"/>
        <v>0</v>
      </c>
      <c r="N8" s="5">
        <f t="shared" si="1"/>
        <v>2000</v>
      </c>
      <c r="O8" s="5">
        <f t="shared" si="2"/>
        <v>3000</v>
      </c>
      <c r="P8" s="5">
        <f t="shared" si="3"/>
        <v>0</v>
      </c>
      <c r="Q8" s="5">
        <f t="shared" si="4"/>
        <v>2000</v>
      </c>
      <c r="R8" s="5">
        <f t="shared" si="5"/>
        <v>2000</v>
      </c>
      <c r="S8" s="5">
        <f t="shared" si="6"/>
        <v>2000</v>
      </c>
      <c r="T8" s="5">
        <f t="shared" si="13"/>
        <v>2000</v>
      </c>
      <c r="V8" s="4" t="s">
        <v>25</v>
      </c>
      <c r="W8" s="5">
        <f t="shared" si="14"/>
        <v>0</v>
      </c>
      <c r="X8" s="5">
        <f t="shared" si="7"/>
        <v>2000</v>
      </c>
      <c r="Y8" s="5">
        <f t="shared" si="8"/>
        <v>3000</v>
      </c>
      <c r="Z8" s="5">
        <f t="shared" si="9"/>
        <v>0</v>
      </c>
      <c r="AA8" s="5">
        <f t="shared" si="10"/>
        <v>2000</v>
      </c>
      <c r="AB8" s="5">
        <f t="shared" si="11"/>
        <v>2000</v>
      </c>
      <c r="AC8" s="5">
        <f t="shared" si="12"/>
        <v>2000</v>
      </c>
      <c r="AD8" s="5">
        <f t="shared" si="12"/>
        <v>2000</v>
      </c>
    </row>
    <row r="9" spans="1:30" x14ac:dyDescent="0.25">
      <c r="B9" s="4" t="s">
        <v>27</v>
      </c>
      <c r="C9" s="22"/>
      <c r="D9" s="22"/>
      <c r="E9" s="22">
        <v>1500</v>
      </c>
      <c r="F9" s="22">
        <v>1500</v>
      </c>
      <c r="G9" s="22"/>
      <c r="H9" s="22"/>
      <c r="I9" s="22"/>
      <c r="J9" s="22"/>
      <c r="L9" s="4" t="s">
        <v>27</v>
      </c>
      <c r="M9" s="5">
        <f t="shared" si="0"/>
        <v>0</v>
      </c>
      <c r="N9" s="5">
        <f t="shared" si="1"/>
        <v>0</v>
      </c>
      <c r="O9" s="5">
        <f t="shared" si="2"/>
        <v>1500</v>
      </c>
      <c r="P9" s="5">
        <f t="shared" si="3"/>
        <v>1500</v>
      </c>
      <c r="Q9" s="5">
        <f t="shared" si="4"/>
        <v>0</v>
      </c>
      <c r="R9" s="5">
        <f t="shared" si="5"/>
        <v>0</v>
      </c>
      <c r="S9" s="5">
        <f t="shared" si="6"/>
        <v>0</v>
      </c>
      <c r="T9" s="5">
        <f t="shared" si="13"/>
        <v>0</v>
      </c>
      <c r="V9" s="4" t="s">
        <v>27</v>
      </c>
      <c r="W9" s="5">
        <f t="shared" si="14"/>
        <v>0</v>
      </c>
      <c r="X9" s="5">
        <f t="shared" si="7"/>
        <v>0</v>
      </c>
      <c r="Y9" s="5">
        <f t="shared" si="8"/>
        <v>1500</v>
      </c>
      <c r="Z9" s="5">
        <f t="shared" si="9"/>
        <v>1500</v>
      </c>
      <c r="AA9" s="5">
        <f t="shared" si="10"/>
        <v>0</v>
      </c>
      <c r="AB9" s="5">
        <f t="shared" si="11"/>
        <v>0</v>
      </c>
      <c r="AC9" s="5">
        <f t="shared" si="12"/>
        <v>0</v>
      </c>
      <c r="AD9" s="5">
        <f t="shared" si="12"/>
        <v>0</v>
      </c>
    </row>
    <row r="10" spans="1:30" x14ac:dyDescent="0.25">
      <c r="B10" s="4" t="s">
        <v>26</v>
      </c>
      <c r="C10" s="22"/>
      <c r="D10" s="22"/>
      <c r="E10" s="22"/>
      <c r="F10" s="22"/>
      <c r="G10" s="22"/>
      <c r="H10" s="22"/>
      <c r="I10" s="22"/>
      <c r="J10" s="22"/>
      <c r="L10" s="4" t="s">
        <v>26</v>
      </c>
      <c r="M10" s="5">
        <f t="shared" si="0"/>
        <v>0</v>
      </c>
      <c r="N10" s="5">
        <f t="shared" si="1"/>
        <v>0</v>
      </c>
      <c r="O10" s="5">
        <f t="shared" si="2"/>
        <v>0</v>
      </c>
      <c r="P10" s="5">
        <f t="shared" si="3"/>
        <v>0</v>
      </c>
      <c r="Q10" s="5">
        <f t="shared" si="4"/>
        <v>0</v>
      </c>
      <c r="R10" s="5">
        <f t="shared" si="5"/>
        <v>0</v>
      </c>
      <c r="S10" s="5">
        <f t="shared" si="6"/>
        <v>0</v>
      </c>
      <c r="T10" s="5">
        <f t="shared" si="13"/>
        <v>0</v>
      </c>
      <c r="V10" s="4" t="s">
        <v>26</v>
      </c>
      <c r="W10" s="5">
        <f t="shared" si="14"/>
        <v>0</v>
      </c>
      <c r="X10" s="5">
        <f t="shared" si="7"/>
        <v>0</v>
      </c>
      <c r="Y10" s="5">
        <f t="shared" si="8"/>
        <v>0</v>
      </c>
      <c r="Z10" s="5">
        <f t="shared" si="9"/>
        <v>0</v>
      </c>
      <c r="AA10" s="5">
        <f t="shared" si="10"/>
        <v>0</v>
      </c>
      <c r="AB10" s="5">
        <f t="shared" si="11"/>
        <v>0</v>
      </c>
      <c r="AC10" s="5">
        <f t="shared" si="12"/>
        <v>0</v>
      </c>
      <c r="AD10" s="5">
        <f t="shared" si="12"/>
        <v>0</v>
      </c>
    </row>
    <row r="11" spans="1:30" x14ac:dyDescent="0.25">
      <c r="B11" s="4" t="s">
        <v>31</v>
      </c>
      <c r="C11" s="22"/>
      <c r="D11" s="22"/>
      <c r="E11" s="22"/>
      <c r="F11" s="22"/>
      <c r="G11" s="22"/>
      <c r="H11" s="22"/>
      <c r="I11" s="22"/>
      <c r="J11" s="22"/>
      <c r="L11" s="4" t="s">
        <v>31</v>
      </c>
      <c r="M11" s="5">
        <f t="shared" si="0"/>
        <v>0</v>
      </c>
      <c r="N11" s="5">
        <f t="shared" si="1"/>
        <v>0</v>
      </c>
      <c r="O11" s="5">
        <f t="shared" si="2"/>
        <v>0</v>
      </c>
      <c r="P11" s="5">
        <f t="shared" si="3"/>
        <v>0</v>
      </c>
      <c r="Q11" s="5">
        <f t="shared" si="4"/>
        <v>0</v>
      </c>
      <c r="R11" s="5">
        <f t="shared" si="5"/>
        <v>0</v>
      </c>
      <c r="S11" s="5">
        <f t="shared" si="6"/>
        <v>0</v>
      </c>
      <c r="T11" s="5">
        <f t="shared" si="13"/>
        <v>0</v>
      </c>
      <c r="V11" s="4" t="s">
        <v>31</v>
      </c>
      <c r="W11" s="5">
        <f t="shared" si="14"/>
        <v>0</v>
      </c>
      <c r="X11" s="5">
        <f t="shared" si="7"/>
        <v>0</v>
      </c>
      <c r="Y11" s="5">
        <f t="shared" si="8"/>
        <v>0</v>
      </c>
      <c r="Z11" s="5">
        <f t="shared" si="9"/>
        <v>0</v>
      </c>
      <c r="AA11" s="5">
        <f t="shared" si="10"/>
        <v>0</v>
      </c>
      <c r="AB11" s="5">
        <f t="shared" si="11"/>
        <v>0</v>
      </c>
      <c r="AC11" s="5">
        <f t="shared" si="12"/>
        <v>0</v>
      </c>
      <c r="AD11" s="5">
        <f t="shared" si="12"/>
        <v>0</v>
      </c>
    </row>
    <row r="12" spans="1:30" x14ac:dyDescent="0.25">
      <c r="B12" s="4" t="s">
        <v>7</v>
      </c>
      <c r="C12" s="22"/>
      <c r="D12" s="22"/>
      <c r="E12" s="22"/>
      <c r="F12" s="22"/>
      <c r="G12" s="22"/>
      <c r="H12" s="22"/>
      <c r="I12" s="22"/>
      <c r="J12" s="22"/>
      <c r="L12" s="4" t="s">
        <v>7</v>
      </c>
      <c r="M12" s="5">
        <f t="shared" si="0"/>
        <v>0</v>
      </c>
      <c r="N12" s="5">
        <f t="shared" si="1"/>
        <v>0</v>
      </c>
      <c r="O12" s="5">
        <f t="shared" si="2"/>
        <v>0</v>
      </c>
      <c r="P12" s="5">
        <f t="shared" si="3"/>
        <v>0</v>
      </c>
      <c r="Q12" s="5">
        <f t="shared" si="4"/>
        <v>0</v>
      </c>
      <c r="R12" s="5">
        <f t="shared" si="5"/>
        <v>0</v>
      </c>
      <c r="S12" s="5">
        <f t="shared" si="6"/>
        <v>0</v>
      </c>
      <c r="T12" s="5">
        <f t="shared" si="13"/>
        <v>0</v>
      </c>
      <c r="V12" s="4" t="s">
        <v>7</v>
      </c>
      <c r="W12" s="5">
        <f t="shared" si="14"/>
        <v>0</v>
      </c>
      <c r="X12" s="5">
        <f t="shared" si="7"/>
        <v>0</v>
      </c>
      <c r="Y12" s="5">
        <f t="shared" si="8"/>
        <v>0</v>
      </c>
      <c r="Z12" s="5">
        <f t="shared" si="9"/>
        <v>0</v>
      </c>
      <c r="AA12" s="5">
        <f t="shared" si="10"/>
        <v>0</v>
      </c>
      <c r="AB12" s="5">
        <f t="shared" si="11"/>
        <v>0</v>
      </c>
      <c r="AC12" s="5">
        <f t="shared" si="12"/>
        <v>0</v>
      </c>
      <c r="AD12" s="5">
        <f t="shared" si="12"/>
        <v>0</v>
      </c>
    </row>
    <row r="13" spans="1:30" x14ac:dyDescent="0.25">
      <c r="B13" s="4" t="s">
        <v>8</v>
      </c>
      <c r="C13" s="22">
        <v>3000</v>
      </c>
      <c r="D13" s="22">
        <v>2500</v>
      </c>
      <c r="E13" s="22">
        <v>2500</v>
      </c>
      <c r="F13" s="22">
        <v>2500</v>
      </c>
      <c r="G13" s="22">
        <v>2500</v>
      </c>
      <c r="H13" s="22">
        <v>2500</v>
      </c>
      <c r="I13" s="22">
        <v>2500</v>
      </c>
      <c r="J13" s="22"/>
      <c r="L13" s="4" t="s">
        <v>8</v>
      </c>
      <c r="M13" s="5">
        <f t="shared" si="0"/>
        <v>3000</v>
      </c>
      <c r="N13" s="5">
        <f t="shared" si="1"/>
        <v>2500</v>
      </c>
      <c r="O13" s="5">
        <f t="shared" si="2"/>
        <v>2500</v>
      </c>
      <c r="P13" s="5">
        <f t="shared" si="3"/>
        <v>2500</v>
      </c>
      <c r="Q13" s="5">
        <f t="shared" si="4"/>
        <v>2500</v>
      </c>
      <c r="R13" s="5">
        <f t="shared" si="5"/>
        <v>2500</v>
      </c>
      <c r="S13" s="5">
        <f t="shared" si="6"/>
        <v>2500</v>
      </c>
      <c r="T13" s="5">
        <f t="shared" si="13"/>
        <v>0</v>
      </c>
      <c r="V13" s="4" t="s">
        <v>8</v>
      </c>
      <c r="W13" s="5">
        <f t="shared" si="14"/>
        <v>3000</v>
      </c>
      <c r="X13" s="5">
        <f t="shared" si="7"/>
        <v>2500</v>
      </c>
      <c r="Y13" s="5">
        <f t="shared" si="8"/>
        <v>2500</v>
      </c>
      <c r="Z13" s="5">
        <f t="shared" si="9"/>
        <v>2500</v>
      </c>
      <c r="AA13" s="5">
        <f t="shared" si="10"/>
        <v>2500</v>
      </c>
      <c r="AB13" s="5">
        <f t="shared" si="11"/>
        <v>2500</v>
      </c>
      <c r="AC13" s="5">
        <f t="shared" si="12"/>
        <v>2500</v>
      </c>
      <c r="AD13" s="5">
        <f t="shared" si="12"/>
        <v>0</v>
      </c>
    </row>
    <row r="14" spans="1:30" x14ac:dyDescent="0.25">
      <c r="B14" s="4" t="s">
        <v>9</v>
      </c>
      <c r="C14" s="22">
        <v>500</v>
      </c>
      <c r="D14" s="22">
        <v>500</v>
      </c>
      <c r="E14" s="22">
        <v>500</v>
      </c>
      <c r="F14" s="22">
        <v>500</v>
      </c>
      <c r="G14" s="22">
        <v>500</v>
      </c>
      <c r="H14" s="22">
        <v>500</v>
      </c>
      <c r="I14" s="22">
        <v>500</v>
      </c>
      <c r="J14" s="22"/>
      <c r="L14" s="4" t="s">
        <v>9</v>
      </c>
      <c r="M14" s="5">
        <f t="shared" si="0"/>
        <v>500</v>
      </c>
      <c r="N14" s="5">
        <f t="shared" si="1"/>
        <v>500</v>
      </c>
      <c r="O14" s="5">
        <f t="shared" si="2"/>
        <v>500</v>
      </c>
      <c r="P14" s="5">
        <f t="shared" si="3"/>
        <v>500</v>
      </c>
      <c r="Q14" s="5">
        <f t="shared" si="4"/>
        <v>500</v>
      </c>
      <c r="R14" s="5">
        <f t="shared" si="5"/>
        <v>500</v>
      </c>
      <c r="S14" s="5">
        <f t="shared" si="6"/>
        <v>500</v>
      </c>
      <c r="T14" s="5">
        <f t="shared" si="13"/>
        <v>0</v>
      </c>
      <c r="V14" s="4" t="s">
        <v>9</v>
      </c>
      <c r="W14" s="5">
        <f t="shared" si="14"/>
        <v>500</v>
      </c>
      <c r="X14" s="5">
        <f t="shared" si="7"/>
        <v>500</v>
      </c>
      <c r="Y14" s="5">
        <f t="shared" si="8"/>
        <v>500</v>
      </c>
      <c r="Z14" s="5">
        <f t="shared" si="9"/>
        <v>500</v>
      </c>
      <c r="AA14" s="5">
        <f t="shared" si="10"/>
        <v>500</v>
      </c>
      <c r="AB14" s="5">
        <f t="shared" si="11"/>
        <v>500</v>
      </c>
      <c r="AC14" s="5">
        <f t="shared" si="12"/>
        <v>500</v>
      </c>
      <c r="AD14" s="5">
        <f t="shared" si="12"/>
        <v>0</v>
      </c>
    </row>
    <row r="15" spans="1:30" x14ac:dyDescent="0.25">
      <c r="B15" s="4" t="s">
        <v>10</v>
      </c>
      <c r="C15" s="22"/>
      <c r="D15" s="22"/>
      <c r="E15" s="22">
        <v>4000</v>
      </c>
      <c r="F15" s="22"/>
      <c r="G15" s="22"/>
      <c r="H15" s="22"/>
      <c r="I15" s="22"/>
      <c r="J15" s="22"/>
      <c r="L15" s="4" t="s">
        <v>10</v>
      </c>
      <c r="M15" s="5">
        <f t="shared" si="0"/>
        <v>0</v>
      </c>
      <c r="N15" s="5">
        <f t="shared" si="1"/>
        <v>0</v>
      </c>
      <c r="O15" s="5">
        <f t="shared" si="2"/>
        <v>4000</v>
      </c>
      <c r="P15" s="5">
        <f t="shared" si="3"/>
        <v>0</v>
      </c>
      <c r="Q15" s="5">
        <f t="shared" si="4"/>
        <v>0</v>
      </c>
      <c r="R15" s="5">
        <f t="shared" si="5"/>
        <v>0</v>
      </c>
      <c r="S15" s="5">
        <f t="shared" si="6"/>
        <v>0</v>
      </c>
      <c r="T15" s="5">
        <f t="shared" si="13"/>
        <v>0</v>
      </c>
      <c r="V15" s="4" t="s">
        <v>10</v>
      </c>
      <c r="W15" s="5">
        <f t="shared" si="14"/>
        <v>0</v>
      </c>
      <c r="X15" s="5">
        <f t="shared" si="7"/>
        <v>0</v>
      </c>
      <c r="Y15" s="5">
        <f t="shared" si="8"/>
        <v>4000</v>
      </c>
      <c r="Z15" s="5">
        <f t="shared" si="9"/>
        <v>0</v>
      </c>
      <c r="AA15" s="5">
        <f t="shared" si="10"/>
        <v>0</v>
      </c>
      <c r="AB15" s="5">
        <f t="shared" si="11"/>
        <v>0</v>
      </c>
      <c r="AC15" s="5">
        <f t="shared" si="12"/>
        <v>0</v>
      </c>
      <c r="AD15" s="5">
        <f t="shared" si="12"/>
        <v>0</v>
      </c>
    </row>
    <row r="16" spans="1:30" x14ac:dyDescent="0.25">
      <c r="B16" s="4" t="s">
        <v>175</v>
      </c>
      <c r="C16" s="22"/>
      <c r="D16" s="22"/>
      <c r="E16" s="22"/>
      <c r="F16" s="22"/>
      <c r="G16" s="22"/>
      <c r="H16" s="22"/>
      <c r="I16" s="22"/>
      <c r="J16" s="22"/>
      <c r="L16" s="4" t="s">
        <v>3</v>
      </c>
      <c r="M16" s="5">
        <f t="shared" si="0"/>
        <v>0</v>
      </c>
      <c r="N16" s="5">
        <f t="shared" si="1"/>
        <v>0</v>
      </c>
      <c r="O16" s="5">
        <f t="shared" si="2"/>
        <v>0</v>
      </c>
      <c r="P16" s="5">
        <f t="shared" si="3"/>
        <v>0</v>
      </c>
      <c r="Q16" s="5">
        <f t="shared" si="4"/>
        <v>0</v>
      </c>
      <c r="R16" s="5">
        <f t="shared" si="5"/>
        <v>0</v>
      </c>
      <c r="S16" s="5">
        <f t="shared" si="6"/>
        <v>0</v>
      </c>
      <c r="T16" s="5">
        <f t="shared" si="13"/>
        <v>0</v>
      </c>
      <c r="V16" s="4" t="s">
        <v>3</v>
      </c>
      <c r="W16" s="5">
        <f t="shared" si="14"/>
        <v>0</v>
      </c>
      <c r="X16" s="5">
        <f t="shared" si="7"/>
        <v>0</v>
      </c>
      <c r="Y16" s="5">
        <f t="shared" si="8"/>
        <v>0</v>
      </c>
      <c r="Z16" s="5">
        <f t="shared" si="9"/>
        <v>0</v>
      </c>
      <c r="AA16" s="5">
        <f t="shared" si="10"/>
        <v>0</v>
      </c>
      <c r="AB16" s="5">
        <f t="shared" si="11"/>
        <v>0</v>
      </c>
      <c r="AC16" s="5">
        <f t="shared" si="12"/>
        <v>0</v>
      </c>
      <c r="AD16" s="5">
        <f t="shared" si="12"/>
        <v>0</v>
      </c>
    </row>
    <row r="17" spans="1:30" x14ac:dyDescent="0.25">
      <c r="B17" s="4" t="s">
        <v>21</v>
      </c>
      <c r="C17" s="22">
        <v>500</v>
      </c>
      <c r="D17" s="22">
        <v>1000</v>
      </c>
      <c r="E17" s="22">
        <v>500</v>
      </c>
      <c r="F17" s="22">
        <v>500</v>
      </c>
      <c r="G17" s="22">
        <v>1000</v>
      </c>
      <c r="H17" s="22">
        <v>1000</v>
      </c>
      <c r="I17" s="22">
        <v>1000</v>
      </c>
      <c r="J17" s="22">
        <v>2000</v>
      </c>
      <c r="L17" s="4" t="s">
        <v>21</v>
      </c>
      <c r="M17" s="5">
        <f t="shared" si="0"/>
        <v>500</v>
      </c>
      <c r="N17" s="5">
        <f t="shared" si="1"/>
        <v>1000</v>
      </c>
      <c r="O17" s="5">
        <f t="shared" si="2"/>
        <v>500</v>
      </c>
      <c r="P17" s="5">
        <f t="shared" si="3"/>
        <v>500</v>
      </c>
      <c r="Q17" s="5">
        <f t="shared" si="4"/>
        <v>1000</v>
      </c>
      <c r="R17" s="5">
        <f t="shared" si="5"/>
        <v>1000</v>
      </c>
      <c r="S17" s="5">
        <f t="shared" si="6"/>
        <v>1000</v>
      </c>
      <c r="T17" s="5">
        <f t="shared" si="13"/>
        <v>2000</v>
      </c>
      <c r="V17" s="4" t="s">
        <v>21</v>
      </c>
      <c r="W17" s="5">
        <f t="shared" si="14"/>
        <v>500</v>
      </c>
      <c r="X17" s="5">
        <f t="shared" si="7"/>
        <v>1000</v>
      </c>
      <c r="Y17" s="5">
        <f t="shared" si="8"/>
        <v>500</v>
      </c>
      <c r="Z17" s="5">
        <f t="shared" si="9"/>
        <v>500</v>
      </c>
      <c r="AA17" s="5">
        <f t="shared" si="10"/>
        <v>1000</v>
      </c>
      <c r="AB17" s="5">
        <f t="shared" si="11"/>
        <v>1000</v>
      </c>
      <c r="AC17" s="5">
        <f t="shared" si="12"/>
        <v>1000</v>
      </c>
      <c r="AD17" s="5">
        <f t="shared" si="12"/>
        <v>2000</v>
      </c>
    </row>
    <row r="18" spans="1:30" x14ac:dyDescent="0.25">
      <c r="B18" s="4" t="s">
        <v>22</v>
      </c>
      <c r="C18" s="22">
        <v>150</v>
      </c>
      <c r="D18" s="22"/>
      <c r="E18" s="22">
        <v>150</v>
      </c>
      <c r="F18" s="22">
        <v>150</v>
      </c>
      <c r="G18" s="22"/>
      <c r="H18" s="22"/>
      <c r="I18" s="22"/>
      <c r="J18" s="22"/>
      <c r="L18" s="4" t="s">
        <v>22</v>
      </c>
      <c r="M18" s="5">
        <f t="shared" si="0"/>
        <v>150</v>
      </c>
      <c r="N18" s="5">
        <f t="shared" si="1"/>
        <v>0</v>
      </c>
      <c r="O18" s="5">
        <f t="shared" si="2"/>
        <v>150</v>
      </c>
      <c r="P18" s="5">
        <f t="shared" si="3"/>
        <v>150</v>
      </c>
      <c r="Q18" s="5">
        <f t="shared" si="4"/>
        <v>0</v>
      </c>
      <c r="R18" s="5">
        <f t="shared" si="5"/>
        <v>0</v>
      </c>
      <c r="S18" s="5">
        <f t="shared" si="6"/>
        <v>0</v>
      </c>
      <c r="T18" s="5">
        <f t="shared" si="13"/>
        <v>0</v>
      </c>
      <c r="V18" s="4" t="s">
        <v>22</v>
      </c>
      <c r="W18" s="5">
        <f t="shared" si="14"/>
        <v>150</v>
      </c>
      <c r="X18" s="5">
        <f t="shared" si="7"/>
        <v>0</v>
      </c>
      <c r="Y18" s="5">
        <f t="shared" si="8"/>
        <v>150</v>
      </c>
      <c r="Z18" s="5">
        <f t="shared" si="9"/>
        <v>150</v>
      </c>
      <c r="AA18" s="5">
        <f t="shared" si="10"/>
        <v>0</v>
      </c>
      <c r="AB18" s="5">
        <f t="shared" si="11"/>
        <v>0</v>
      </c>
      <c r="AC18" s="5">
        <f t="shared" si="12"/>
        <v>0</v>
      </c>
      <c r="AD18" s="5">
        <f t="shared" si="12"/>
        <v>0</v>
      </c>
    </row>
    <row r="19" spans="1:30" x14ac:dyDescent="0.25">
      <c r="B19" s="4"/>
      <c r="C19" s="22"/>
      <c r="D19" s="22"/>
      <c r="E19" s="22"/>
      <c r="F19" s="22"/>
      <c r="G19" s="22"/>
      <c r="H19" s="22"/>
      <c r="I19" s="22"/>
      <c r="J19" s="22"/>
      <c r="L19" s="4"/>
      <c r="M19" s="5"/>
      <c r="N19" s="5"/>
      <c r="O19" s="5"/>
      <c r="P19" s="5"/>
      <c r="Q19" s="5"/>
      <c r="R19" s="5"/>
      <c r="S19" s="5"/>
      <c r="T19" s="5">
        <f t="shared" si="13"/>
        <v>0</v>
      </c>
      <c r="V19" s="4"/>
      <c r="W19" s="5"/>
      <c r="X19" s="5"/>
      <c r="Y19" s="5"/>
      <c r="Z19" s="5"/>
      <c r="AA19" s="5"/>
      <c r="AB19" s="5"/>
      <c r="AC19" s="5"/>
    </row>
    <row r="20" spans="1:30" x14ac:dyDescent="0.25">
      <c r="B20" s="6" t="s">
        <v>11</v>
      </c>
      <c r="C20" s="23">
        <f t="shared" ref="C20:I20" si="15">SUM(C5:C19)</f>
        <v>12075.9</v>
      </c>
      <c r="D20" s="23">
        <f t="shared" si="15"/>
        <v>22988</v>
      </c>
      <c r="E20" s="23">
        <f t="shared" si="15"/>
        <v>33150</v>
      </c>
      <c r="F20" s="23">
        <f t="shared" si="15"/>
        <v>12150</v>
      </c>
      <c r="G20" s="23">
        <f t="shared" si="15"/>
        <v>36285.599999999999</v>
      </c>
      <c r="H20" s="23">
        <f t="shared" si="15"/>
        <v>32988</v>
      </c>
      <c r="I20" s="23">
        <f t="shared" si="15"/>
        <v>22988</v>
      </c>
      <c r="J20" s="23">
        <f t="shared" ref="J20" si="16">SUM(J5:J19)</f>
        <v>15300</v>
      </c>
      <c r="L20" s="6" t="s">
        <v>11</v>
      </c>
      <c r="M20" s="7">
        <f t="shared" ref="M20:S20" si="17">SUM(M5:M19)</f>
        <v>12075.9</v>
      </c>
      <c r="N20" s="7">
        <f t="shared" si="17"/>
        <v>22988</v>
      </c>
      <c r="O20" s="7">
        <f t="shared" si="17"/>
        <v>33150</v>
      </c>
      <c r="P20" s="7">
        <f t="shared" si="17"/>
        <v>12150</v>
      </c>
      <c r="Q20" s="7">
        <f t="shared" si="17"/>
        <v>36285.599999999999</v>
      </c>
      <c r="R20" s="7">
        <f t="shared" si="17"/>
        <v>32988</v>
      </c>
      <c r="S20" s="7">
        <f t="shared" si="17"/>
        <v>22988</v>
      </c>
      <c r="T20" s="7">
        <f t="shared" ref="T20" si="18">SUM(T5:T19)</f>
        <v>15300</v>
      </c>
      <c r="V20" s="6" t="s">
        <v>11</v>
      </c>
      <c r="W20" s="7">
        <f t="shared" ref="W20:AC20" si="19">SUM(W5:W19)</f>
        <v>12075.9</v>
      </c>
      <c r="X20" s="7">
        <f t="shared" si="19"/>
        <v>22988</v>
      </c>
      <c r="Y20" s="7">
        <f t="shared" si="19"/>
        <v>33150</v>
      </c>
      <c r="Z20" s="7">
        <f t="shared" si="19"/>
        <v>12150</v>
      </c>
      <c r="AA20" s="7">
        <f t="shared" si="19"/>
        <v>36285.599999999999</v>
      </c>
      <c r="AB20" s="7">
        <f t="shared" si="19"/>
        <v>32988</v>
      </c>
      <c r="AC20" s="7">
        <f t="shared" si="19"/>
        <v>22988</v>
      </c>
      <c r="AD20" s="7">
        <f t="shared" ref="AD20" si="20">SUM(AD5:AD19)</f>
        <v>15300</v>
      </c>
    </row>
    <row r="21" spans="1:30" x14ac:dyDescent="0.25">
      <c r="B21" s="4" t="s">
        <v>12</v>
      </c>
      <c r="C21" s="22">
        <f t="shared" ref="C21:I21" si="21">C20*0.19</f>
        <v>2294.4209999999998</v>
      </c>
      <c r="D21" s="22">
        <f t="shared" si="21"/>
        <v>4367.72</v>
      </c>
      <c r="E21" s="22">
        <f t="shared" si="21"/>
        <v>6298.5</v>
      </c>
      <c r="F21" s="22">
        <f t="shared" si="21"/>
        <v>2308.5</v>
      </c>
      <c r="G21" s="22">
        <f t="shared" si="21"/>
        <v>6894.2640000000001</v>
      </c>
      <c r="H21" s="22">
        <f t="shared" si="21"/>
        <v>6267.72</v>
      </c>
      <c r="I21" s="22">
        <f t="shared" si="21"/>
        <v>4367.72</v>
      </c>
      <c r="J21" s="22">
        <f t="shared" ref="J21" si="22">J20*0.19</f>
        <v>2907</v>
      </c>
      <c r="L21" s="4" t="s">
        <v>12</v>
      </c>
      <c r="M21" s="5">
        <f t="shared" ref="M21:S21" si="23">M20*0.19</f>
        <v>2294.4209999999998</v>
      </c>
      <c r="N21" s="5">
        <f t="shared" si="23"/>
        <v>4367.72</v>
      </c>
      <c r="O21" s="5">
        <f t="shared" si="23"/>
        <v>6298.5</v>
      </c>
      <c r="P21" s="5">
        <f t="shared" si="23"/>
        <v>2308.5</v>
      </c>
      <c r="Q21" s="5">
        <f t="shared" si="23"/>
        <v>6894.2640000000001</v>
      </c>
      <c r="R21" s="5">
        <f t="shared" si="23"/>
        <v>6267.72</v>
      </c>
      <c r="S21" s="5">
        <f t="shared" si="23"/>
        <v>4367.72</v>
      </c>
      <c r="T21" s="5">
        <f t="shared" ref="T21" si="24">T20*0.19</f>
        <v>2907</v>
      </c>
      <c r="V21" s="4" t="s">
        <v>12</v>
      </c>
      <c r="W21" s="5">
        <f t="shared" ref="W21:AC21" si="25">W20*0.19</f>
        <v>2294.4209999999998</v>
      </c>
      <c r="X21" s="5">
        <f t="shared" si="25"/>
        <v>4367.72</v>
      </c>
      <c r="Y21" s="5">
        <f t="shared" si="25"/>
        <v>6298.5</v>
      </c>
      <c r="Z21" s="5">
        <f t="shared" si="25"/>
        <v>2308.5</v>
      </c>
      <c r="AA21" s="5">
        <f t="shared" si="25"/>
        <v>6894.2640000000001</v>
      </c>
      <c r="AB21" s="5">
        <f t="shared" si="25"/>
        <v>6267.72</v>
      </c>
      <c r="AC21" s="5">
        <f t="shared" si="25"/>
        <v>4367.72</v>
      </c>
      <c r="AD21" s="5">
        <f t="shared" ref="AD21" si="26">AD20*0.19</f>
        <v>2907</v>
      </c>
    </row>
    <row r="22" spans="1:30" x14ac:dyDescent="0.25">
      <c r="B22" s="6" t="s">
        <v>13</v>
      </c>
      <c r="C22" s="23">
        <f t="shared" ref="C22:I22" si="27">SUM(C20:C21)</f>
        <v>14370.321</v>
      </c>
      <c r="D22" s="23">
        <f t="shared" si="27"/>
        <v>27355.72</v>
      </c>
      <c r="E22" s="23">
        <f t="shared" si="27"/>
        <v>39448.5</v>
      </c>
      <c r="F22" s="23">
        <f t="shared" si="27"/>
        <v>14458.5</v>
      </c>
      <c r="G22" s="23">
        <f t="shared" si="27"/>
        <v>43179.864000000001</v>
      </c>
      <c r="H22" s="23">
        <f t="shared" si="27"/>
        <v>39255.72</v>
      </c>
      <c r="I22" s="23">
        <f t="shared" si="27"/>
        <v>27355.72</v>
      </c>
      <c r="J22" s="23">
        <f t="shared" ref="J22" si="28">SUM(J20:J21)</f>
        <v>18207</v>
      </c>
      <c r="L22" s="6" t="s">
        <v>13</v>
      </c>
      <c r="M22" s="7">
        <f t="shared" ref="M22:S22" si="29">SUM(M20:M21)</f>
        <v>14370.321</v>
      </c>
      <c r="N22" s="7">
        <f t="shared" si="29"/>
        <v>27355.72</v>
      </c>
      <c r="O22" s="7">
        <f t="shared" si="29"/>
        <v>39448.5</v>
      </c>
      <c r="P22" s="7">
        <f t="shared" si="29"/>
        <v>14458.5</v>
      </c>
      <c r="Q22" s="7">
        <f t="shared" si="29"/>
        <v>43179.864000000001</v>
      </c>
      <c r="R22" s="7">
        <f t="shared" si="29"/>
        <v>39255.72</v>
      </c>
      <c r="S22" s="7">
        <f t="shared" si="29"/>
        <v>27355.72</v>
      </c>
      <c r="T22" s="7">
        <f t="shared" ref="T22" si="30">SUM(T20:T21)</f>
        <v>18207</v>
      </c>
      <c r="V22" s="6" t="s">
        <v>13</v>
      </c>
      <c r="W22" s="7">
        <f t="shared" ref="W22:AC22" si="31">SUM(W20:W21)</f>
        <v>14370.321</v>
      </c>
      <c r="X22" s="7">
        <f t="shared" si="31"/>
        <v>27355.72</v>
      </c>
      <c r="Y22" s="7">
        <f t="shared" si="31"/>
        <v>39448.5</v>
      </c>
      <c r="Z22" s="7">
        <f t="shared" si="31"/>
        <v>14458.5</v>
      </c>
      <c r="AA22" s="7">
        <f t="shared" si="31"/>
        <v>43179.864000000001</v>
      </c>
      <c r="AB22" s="7">
        <f t="shared" si="31"/>
        <v>39255.72</v>
      </c>
      <c r="AC22" s="7">
        <f t="shared" si="31"/>
        <v>27355.72</v>
      </c>
      <c r="AD22" s="7">
        <f t="shared" ref="AD22" si="32">SUM(AD20:AD21)</f>
        <v>18207</v>
      </c>
    </row>
    <row r="23" spans="1:30" x14ac:dyDescent="0.25">
      <c r="B23" s="4" t="s">
        <v>54</v>
      </c>
      <c r="C23" s="22"/>
      <c r="D23" s="22">
        <f>IF(D22 &lt; (15000+15000*Eingaben!$C$23),D22*Eingaben!$C$24/100,(15000+15000*Eingaben!$C$23)*Eingaben!$C$24/100)</f>
        <v>13677.86</v>
      </c>
      <c r="E23" s="22">
        <f>IF(E22 &lt; (15000+15000*Eingaben!$C$23),E22*Eingaben!$C$24/100,(15000+15000*Eingaben!$C$23)*Eingaben!$C$24/100)</f>
        <v>15000</v>
      </c>
      <c r="F23" s="22"/>
      <c r="G23" s="22">
        <f>IF(G22 &lt; (15000+15000*Eingaben!$C$23),G22*Eingaben!$C$24/100,(15000+15000*Eingaben!$C$23)*Eingaben!$C$24/100)</f>
        <v>15000</v>
      </c>
      <c r="H23" s="22">
        <f>IF(H22 &lt; (15000+15000*Eingaben!$C$23),H22*Eingaben!$C$24/100,(15000+15000*Eingaben!$C$23)*Eingaben!$C$24/100)</f>
        <v>15000</v>
      </c>
      <c r="I23" s="22">
        <f>IF(I22 &lt; (15000+15000*Eingaben!$C$23),I22*Eingaben!$C$24/100,(15000+15000*Eingaben!$C$23)*Eingaben!$C$24/100)</f>
        <v>13677.86</v>
      </c>
      <c r="J23" s="26">
        <f>IF(Eingaben!C28=1,IF(J22 &lt; (15000+15000*Eingaben!$C$23),J22*Eingaben!$C$24/100,(15000+15000*Eingaben!$C$23)*Eingaben!$C$24/100),0)</f>
        <v>9103.5</v>
      </c>
      <c r="L23" s="4"/>
      <c r="M23" s="5"/>
      <c r="N23" s="5">
        <f>N22*Eingaben!$C$24/100</f>
        <v>13677.86</v>
      </c>
      <c r="O23" s="5">
        <f>O22*Eingaben!$C$26/100</f>
        <v>19724.25</v>
      </c>
      <c r="P23" s="5"/>
      <c r="Q23" s="5">
        <f t="shared" ref="Q23" si="33">G23</f>
        <v>15000</v>
      </c>
      <c r="R23" s="5">
        <f t="shared" ref="R23" si="34">H23</f>
        <v>15000</v>
      </c>
      <c r="S23" s="5">
        <f>S22*Eingaben!$C$24/100</f>
        <v>13677.86</v>
      </c>
      <c r="T23" s="5">
        <f>T22*Eingaben!$C$24/100</f>
        <v>9103.5</v>
      </c>
      <c r="V23" s="4" t="s">
        <v>54</v>
      </c>
      <c r="W23" s="5"/>
      <c r="X23" s="5">
        <f>X22*Eingaben!$C$24/100</f>
        <v>13677.86</v>
      </c>
      <c r="Y23" s="5">
        <f>Y22*Eingaben!$C$26/100</f>
        <v>19724.25</v>
      </c>
      <c r="Z23" s="5"/>
      <c r="AA23" s="5">
        <f>G23</f>
        <v>15000</v>
      </c>
      <c r="AB23" s="5">
        <f>H23</f>
        <v>15000</v>
      </c>
      <c r="AC23" s="5">
        <f>AC22*Eingaben!$C$24/100</f>
        <v>13677.86</v>
      </c>
      <c r="AD23" s="5">
        <f>AD22*Eingaben!$C$24/100</f>
        <v>9103.5</v>
      </c>
    </row>
    <row r="24" spans="1:30" x14ac:dyDescent="0.25">
      <c r="B24" s="17" t="s">
        <v>55</v>
      </c>
      <c r="C24" s="24">
        <f t="shared" ref="C24:I24" si="35">C22-C23</f>
        <v>14370.321</v>
      </c>
      <c r="D24" s="24">
        <f t="shared" si="35"/>
        <v>13677.86</v>
      </c>
      <c r="E24" s="24">
        <f t="shared" si="35"/>
        <v>24448.5</v>
      </c>
      <c r="F24" s="24">
        <f t="shared" si="35"/>
        <v>14458.5</v>
      </c>
      <c r="G24" s="24">
        <f t="shared" si="35"/>
        <v>28179.864000000001</v>
      </c>
      <c r="H24" s="24">
        <f t="shared" si="35"/>
        <v>24255.72</v>
      </c>
      <c r="I24" s="24">
        <f t="shared" si="35"/>
        <v>13677.86</v>
      </c>
      <c r="J24" s="24">
        <f t="shared" ref="J24" si="36">J22-J23</f>
        <v>9103.5</v>
      </c>
      <c r="L24" s="6" t="s">
        <v>14</v>
      </c>
      <c r="M24" s="8">
        <f t="shared" ref="M24:S24" si="37">M22-M23</f>
        <v>14370.321</v>
      </c>
      <c r="N24" s="8">
        <f t="shared" si="37"/>
        <v>13677.86</v>
      </c>
      <c r="O24" s="8">
        <f t="shared" si="37"/>
        <v>19724.25</v>
      </c>
      <c r="P24" s="8">
        <f t="shared" si="37"/>
        <v>14458.5</v>
      </c>
      <c r="Q24" s="8">
        <f t="shared" si="37"/>
        <v>28179.864000000001</v>
      </c>
      <c r="R24" s="8">
        <f t="shared" si="37"/>
        <v>24255.72</v>
      </c>
      <c r="S24" s="8">
        <f t="shared" si="37"/>
        <v>13677.86</v>
      </c>
      <c r="T24" s="8">
        <f t="shared" ref="T24" si="38">T22-T23</f>
        <v>9103.5</v>
      </c>
      <c r="V24" s="6" t="s">
        <v>14</v>
      </c>
      <c r="W24" s="8">
        <f t="shared" ref="W24:AC24" si="39">W22-W23</f>
        <v>14370.321</v>
      </c>
      <c r="X24" s="8">
        <f t="shared" si="39"/>
        <v>13677.86</v>
      </c>
      <c r="Y24" s="8">
        <f t="shared" si="39"/>
        <v>19724.25</v>
      </c>
      <c r="Z24" s="8">
        <f t="shared" si="39"/>
        <v>14458.5</v>
      </c>
      <c r="AA24" s="8">
        <f t="shared" si="39"/>
        <v>28179.864000000001</v>
      </c>
      <c r="AB24" s="8">
        <f t="shared" si="39"/>
        <v>24255.72</v>
      </c>
      <c r="AC24" s="8">
        <f t="shared" si="39"/>
        <v>13677.86</v>
      </c>
      <c r="AD24" s="8">
        <f t="shared" ref="AD24" si="40">AD22-AD23</f>
        <v>9103.5</v>
      </c>
    </row>
    <row r="25" spans="1:30" x14ac:dyDescent="0.25">
      <c r="B25" s="4"/>
      <c r="C25" s="22"/>
      <c r="D25" s="22"/>
      <c r="E25" s="22"/>
      <c r="F25" s="21"/>
      <c r="G25" s="21"/>
      <c r="H25" s="21"/>
      <c r="I25" s="22"/>
      <c r="J25" s="22"/>
      <c r="L25" s="4"/>
      <c r="M25" s="5"/>
      <c r="N25" s="5"/>
      <c r="O25" s="5"/>
      <c r="S25" s="5"/>
      <c r="T25" s="5"/>
      <c r="V25" s="4"/>
      <c r="W25" s="5"/>
      <c r="X25" s="5"/>
      <c r="Y25" s="5"/>
      <c r="AC25" s="5"/>
    </row>
    <row r="26" spans="1:30" x14ac:dyDescent="0.25">
      <c r="B26" s="4"/>
      <c r="C26" s="21"/>
      <c r="D26" s="21"/>
      <c r="E26" s="21"/>
      <c r="F26" s="21"/>
      <c r="G26" s="21"/>
      <c r="H26" s="21"/>
      <c r="I26" s="21"/>
      <c r="J26" s="21"/>
      <c r="L26" s="4"/>
      <c r="V26" s="4"/>
    </row>
    <row r="27" spans="1:30" x14ac:dyDescent="0.25">
      <c r="A27" s="3" t="s">
        <v>15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30" x14ac:dyDescent="0.25">
      <c r="B28" s="4" t="s">
        <v>23</v>
      </c>
      <c r="C28" s="21">
        <v>250</v>
      </c>
      <c r="D28" s="21">
        <v>250</v>
      </c>
      <c r="E28" s="21">
        <v>450</v>
      </c>
      <c r="F28" s="21">
        <v>250</v>
      </c>
      <c r="G28" s="21">
        <v>250</v>
      </c>
      <c r="H28" s="21">
        <v>250</v>
      </c>
      <c r="I28" s="21">
        <v>250</v>
      </c>
      <c r="J28" s="21">
        <v>0</v>
      </c>
      <c r="L28" s="4" t="s">
        <v>23</v>
      </c>
      <c r="M28">
        <f>C28</f>
        <v>250</v>
      </c>
      <c r="N28">
        <f t="shared" ref="N28:N32" si="41">D28</f>
        <v>250</v>
      </c>
      <c r="O28">
        <f t="shared" ref="O28:O32" si="42">E28</f>
        <v>450</v>
      </c>
      <c r="P28">
        <f t="shared" ref="P28:P32" si="43">F28</f>
        <v>250</v>
      </c>
      <c r="Q28">
        <f t="shared" ref="Q28:Q32" si="44">G28</f>
        <v>250</v>
      </c>
      <c r="R28">
        <f t="shared" ref="R28:R32" si="45">H28</f>
        <v>250</v>
      </c>
      <c r="S28">
        <f t="shared" ref="S28:S32" si="46">I28</f>
        <v>250</v>
      </c>
      <c r="T28">
        <f>J28</f>
        <v>0</v>
      </c>
      <c r="V28" s="4" t="s">
        <v>23</v>
      </c>
      <c r="W28">
        <f>C28</f>
        <v>250</v>
      </c>
      <c r="X28">
        <f t="shared" ref="X28:X32" si="47">D28</f>
        <v>250</v>
      </c>
      <c r="Y28">
        <f t="shared" ref="Y28:Y32" si="48">E28</f>
        <v>450</v>
      </c>
      <c r="Z28">
        <f t="shared" ref="Z28:Z32" si="49">F28</f>
        <v>250</v>
      </c>
      <c r="AA28">
        <f t="shared" ref="AA28:AA32" si="50">G28</f>
        <v>250</v>
      </c>
      <c r="AB28">
        <f t="shared" ref="AB28:AB32" si="51">H28</f>
        <v>250</v>
      </c>
      <c r="AC28">
        <f t="shared" ref="AC28:AD32" si="52">I28</f>
        <v>250</v>
      </c>
      <c r="AD28">
        <f t="shared" si="52"/>
        <v>0</v>
      </c>
    </row>
    <row r="29" spans="1:30" x14ac:dyDescent="0.25">
      <c r="B29" s="4" t="s">
        <v>16</v>
      </c>
      <c r="C29" s="21">
        <v>50</v>
      </c>
      <c r="D29" s="21"/>
      <c r="E29" s="21">
        <v>100</v>
      </c>
      <c r="F29" s="21">
        <v>50</v>
      </c>
      <c r="G29" s="21"/>
      <c r="H29" s="21"/>
      <c r="I29" s="21"/>
      <c r="J29" s="21">
        <v>0</v>
      </c>
      <c r="L29" s="4" t="s">
        <v>16</v>
      </c>
      <c r="M29">
        <f t="shared" ref="M29:M32" si="53">C29</f>
        <v>50</v>
      </c>
      <c r="N29">
        <f t="shared" si="41"/>
        <v>0</v>
      </c>
      <c r="O29">
        <f t="shared" si="42"/>
        <v>100</v>
      </c>
      <c r="P29">
        <f t="shared" si="43"/>
        <v>50</v>
      </c>
      <c r="Q29">
        <f t="shared" si="44"/>
        <v>0</v>
      </c>
      <c r="R29">
        <f t="shared" si="45"/>
        <v>0</v>
      </c>
      <c r="S29">
        <f t="shared" si="46"/>
        <v>0</v>
      </c>
      <c r="T29">
        <f t="shared" ref="T29:T32" si="54">J29</f>
        <v>0</v>
      </c>
      <c r="V29" s="4" t="s">
        <v>16</v>
      </c>
      <c r="W29">
        <f t="shared" ref="W29:W32" si="55">C29</f>
        <v>50</v>
      </c>
      <c r="X29">
        <f t="shared" si="47"/>
        <v>0</v>
      </c>
      <c r="Y29">
        <f t="shared" si="48"/>
        <v>100</v>
      </c>
      <c r="Z29">
        <f t="shared" si="49"/>
        <v>50</v>
      </c>
      <c r="AA29">
        <f t="shared" si="50"/>
        <v>0</v>
      </c>
      <c r="AB29">
        <f t="shared" si="51"/>
        <v>0</v>
      </c>
      <c r="AC29">
        <f t="shared" si="52"/>
        <v>0</v>
      </c>
      <c r="AD29">
        <f t="shared" si="52"/>
        <v>0</v>
      </c>
    </row>
    <row r="30" spans="1:30" x14ac:dyDescent="0.25">
      <c r="B30" s="4" t="s">
        <v>24</v>
      </c>
      <c r="C30" s="21">
        <v>300</v>
      </c>
      <c r="D30" s="4">
        <v>300</v>
      </c>
      <c r="E30" s="21">
        <v>300</v>
      </c>
      <c r="F30" s="21">
        <v>300</v>
      </c>
      <c r="G30" s="21">
        <v>300</v>
      </c>
      <c r="H30" s="21">
        <v>300</v>
      </c>
      <c r="I30" s="4">
        <v>300</v>
      </c>
      <c r="J30" s="4">
        <v>0</v>
      </c>
      <c r="L30" s="4" t="s">
        <v>24</v>
      </c>
      <c r="M30">
        <f t="shared" si="53"/>
        <v>300</v>
      </c>
      <c r="N30">
        <f t="shared" si="41"/>
        <v>300</v>
      </c>
      <c r="O30">
        <f t="shared" si="42"/>
        <v>300</v>
      </c>
      <c r="P30">
        <f t="shared" si="43"/>
        <v>300</v>
      </c>
      <c r="Q30">
        <f t="shared" si="44"/>
        <v>300</v>
      </c>
      <c r="R30">
        <f t="shared" si="45"/>
        <v>300</v>
      </c>
      <c r="S30">
        <f t="shared" si="46"/>
        <v>300</v>
      </c>
      <c r="T30">
        <f t="shared" si="54"/>
        <v>0</v>
      </c>
      <c r="V30" s="4" t="s">
        <v>24</v>
      </c>
      <c r="W30">
        <f t="shared" si="55"/>
        <v>300</v>
      </c>
      <c r="X30">
        <f t="shared" si="47"/>
        <v>300</v>
      </c>
      <c r="Y30">
        <f t="shared" si="48"/>
        <v>300</v>
      </c>
      <c r="Z30">
        <f t="shared" si="49"/>
        <v>300</v>
      </c>
      <c r="AA30">
        <f t="shared" si="50"/>
        <v>300</v>
      </c>
      <c r="AB30">
        <f t="shared" si="51"/>
        <v>300</v>
      </c>
      <c r="AC30">
        <f t="shared" si="52"/>
        <v>300</v>
      </c>
      <c r="AD30">
        <f t="shared" si="52"/>
        <v>0</v>
      </c>
    </row>
    <row r="31" spans="1:30" x14ac:dyDescent="0.25">
      <c r="B31" s="4" t="s">
        <v>77</v>
      </c>
      <c r="C31" s="21">
        <v>150</v>
      </c>
      <c r="D31" s="4"/>
      <c r="E31" s="21"/>
      <c r="F31" s="21">
        <v>150</v>
      </c>
      <c r="G31" s="21"/>
      <c r="H31" s="21"/>
      <c r="I31" s="4"/>
      <c r="J31" s="4">
        <v>0</v>
      </c>
      <c r="L31" s="4" t="s">
        <v>77</v>
      </c>
      <c r="M31">
        <f t="shared" ref="M31" si="56">C31</f>
        <v>150</v>
      </c>
      <c r="N31">
        <f t="shared" ref="N31" si="57">D31</f>
        <v>0</v>
      </c>
      <c r="O31">
        <f t="shared" ref="O31" si="58">E31</f>
        <v>0</v>
      </c>
      <c r="P31">
        <f t="shared" ref="P31" si="59">F31</f>
        <v>150</v>
      </c>
      <c r="Q31">
        <f t="shared" ref="Q31" si="60">G31</f>
        <v>0</v>
      </c>
      <c r="R31">
        <f t="shared" ref="R31" si="61">H31</f>
        <v>0</v>
      </c>
      <c r="S31">
        <f t="shared" ref="S31" si="62">I31</f>
        <v>0</v>
      </c>
      <c r="T31">
        <f t="shared" si="54"/>
        <v>0</v>
      </c>
      <c r="V31" s="4" t="s">
        <v>77</v>
      </c>
      <c r="W31">
        <f t="shared" ref="W31" si="63">M31</f>
        <v>150</v>
      </c>
      <c r="X31">
        <f t="shared" ref="X31" si="64">N31</f>
        <v>0</v>
      </c>
      <c r="Y31">
        <f t="shared" ref="Y31" si="65">O31</f>
        <v>0</v>
      </c>
      <c r="Z31">
        <f t="shared" ref="Z31" si="66">P31</f>
        <v>150</v>
      </c>
      <c r="AA31">
        <f t="shared" ref="AA31" si="67">Q31</f>
        <v>0</v>
      </c>
      <c r="AB31">
        <f t="shared" ref="AB31" si="68">R31</f>
        <v>0</v>
      </c>
      <c r="AC31">
        <f t="shared" ref="AC31:AD31" si="69">S31</f>
        <v>0</v>
      </c>
      <c r="AD31">
        <f t="shared" si="69"/>
        <v>0</v>
      </c>
    </row>
    <row r="32" spans="1:30" x14ac:dyDescent="0.25">
      <c r="B32" s="4" t="s">
        <v>17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L32" s="4" t="s">
        <v>17</v>
      </c>
      <c r="M32">
        <f t="shared" si="53"/>
        <v>0</v>
      </c>
      <c r="N32">
        <f t="shared" si="41"/>
        <v>0</v>
      </c>
      <c r="O32">
        <f t="shared" si="42"/>
        <v>0</v>
      </c>
      <c r="P32">
        <f t="shared" si="43"/>
        <v>0</v>
      </c>
      <c r="Q32">
        <f t="shared" si="44"/>
        <v>0</v>
      </c>
      <c r="R32">
        <f t="shared" si="45"/>
        <v>0</v>
      </c>
      <c r="S32">
        <f t="shared" si="46"/>
        <v>0</v>
      </c>
      <c r="T32">
        <f t="shared" si="54"/>
        <v>0</v>
      </c>
      <c r="V32" s="4" t="s">
        <v>17</v>
      </c>
      <c r="W32">
        <f t="shared" si="55"/>
        <v>0</v>
      </c>
      <c r="X32">
        <f t="shared" si="47"/>
        <v>0</v>
      </c>
      <c r="Y32">
        <f t="shared" si="48"/>
        <v>0</v>
      </c>
      <c r="Z32">
        <f t="shared" si="49"/>
        <v>0</v>
      </c>
      <c r="AA32">
        <f t="shared" si="50"/>
        <v>0</v>
      </c>
      <c r="AB32">
        <f t="shared" si="51"/>
        <v>0</v>
      </c>
      <c r="AC32">
        <f t="shared" si="52"/>
        <v>0</v>
      </c>
      <c r="AD32">
        <f t="shared" si="52"/>
        <v>0</v>
      </c>
    </row>
    <row r="33" spans="1:30" x14ac:dyDescent="0.25">
      <c r="A33" s="2"/>
      <c r="B33" s="18" t="s">
        <v>56</v>
      </c>
      <c r="C33" s="25">
        <f t="shared" ref="C33:J33" si="70">SUM(C28:C32)</f>
        <v>750</v>
      </c>
      <c r="D33" s="25">
        <f t="shared" si="70"/>
        <v>550</v>
      </c>
      <c r="E33" s="25">
        <f t="shared" si="70"/>
        <v>850</v>
      </c>
      <c r="F33" s="25">
        <f t="shared" si="70"/>
        <v>750</v>
      </c>
      <c r="G33" s="25">
        <f t="shared" si="70"/>
        <v>550</v>
      </c>
      <c r="H33" s="25">
        <f t="shared" si="70"/>
        <v>550</v>
      </c>
      <c r="I33" s="25">
        <f t="shared" si="70"/>
        <v>550</v>
      </c>
      <c r="J33" s="25">
        <f t="shared" si="70"/>
        <v>0</v>
      </c>
      <c r="L33" s="11" t="s">
        <v>38</v>
      </c>
      <c r="M33" s="12">
        <f>SUM(M28:M32)*Eingaben!H8</f>
        <v>932.23027349188294</v>
      </c>
      <c r="N33" s="12">
        <f>SUM(N28:N32)*Eingaben!H8</f>
        <v>683.63553389404751</v>
      </c>
      <c r="O33" s="12">
        <f>SUM(O28:O32)*Eingaben!H8</f>
        <v>1056.5276432908006</v>
      </c>
      <c r="P33" s="12">
        <f>SUM(P28:P32)*Eingaben!H8</f>
        <v>932.23027349188294</v>
      </c>
      <c r="Q33" s="12">
        <f>SUM(Q28:Q32)*Eingaben!H8</f>
        <v>683.63553389404751</v>
      </c>
      <c r="R33" s="12">
        <f>SUM(R28:R32)*Eingaben!H8</f>
        <v>683.63553389404751</v>
      </c>
      <c r="S33" s="12">
        <f>SUM(S28:S32)*Eingaben!H8</f>
        <v>683.63553389404751</v>
      </c>
      <c r="T33" s="12">
        <f>SUM(T28:T32)*Eingaben!I8</f>
        <v>0</v>
      </c>
      <c r="V33" s="11" t="s">
        <v>38</v>
      </c>
      <c r="W33" s="12">
        <f>SUM(W28:W32)*Eingaben!I8</f>
        <v>1196.6711786375329</v>
      </c>
      <c r="X33" s="12">
        <f>SUM(X28:X32)*Eingaben!I8</f>
        <v>877.55886433419084</v>
      </c>
      <c r="Y33" s="12">
        <f>SUM(Y28:Y32)*Eingaben!I8</f>
        <v>1356.2273357892041</v>
      </c>
      <c r="Z33" s="12">
        <f>SUM(Z28:Z32)*Eingaben!I8</f>
        <v>1196.6711786375329</v>
      </c>
      <c r="AA33" s="12">
        <f>SUM(AA28:AA32)*Eingaben!I8</f>
        <v>877.55886433419084</v>
      </c>
      <c r="AB33" s="12">
        <f>SUM(AB28:AB32)*Eingaben!I8</f>
        <v>877.55886433419084</v>
      </c>
      <c r="AC33" s="12">
        <f>SUM(AC28:AC32)*Eingaben!I8</f>
        <v>877.55886433419084</v>
      </c>
      <c r="AD33" s="12">
        <f>SUM(AD28:AD32)*Eingaben!J8</f>
        <v>0</v>
      </c>
    </row>
    <row r="34" spans="1:30" x14ac:dyDescent="0.25">
      <c r="B34" s="4"/>
      <c r="C34" s="21"/>
      <c r="D34" s="21"/>
      <c r="E34" s="21"/>
      <c r="F34" s="21"/>
      <c r="G34" s="21"/>
      <c r="H34" s="21"/>
      <c r="I34" s="21"/>
      <c r="J34" s="21"/>
      <c r="L34" s="4"/>
      <c r="V34" s="4"/>
    </row>
    <row r="35" spans="1:30" x14ac:dyDescent="0.25">
      <c r="A35" s="3" t="s">
        <v>18</v>
      </c>
      <c r="B35" s="21"/>
      <c r="C35" s="21"/>
      <c r="D35" s="21"/>
      <c r="E35" s="21"/>
      <c r="F35" s="21"/>
      <c r="G35" s="21"/>
      <c r="H35" s="21"/>
      <c r="I35" s="21"/>
      <c r="J35" s="21"/>
    </row>
    <row r="36" spans="1:30" x14ac:dyDescent="0.25">
      <c r="A36" s="3"/>
      <c r="B36" s="21" t="s">
        <v>248</v>
      </c>
      <c r="C36" s="35">
        <v>0.95</v>
      </c>
      <c r="D36" s="21">
        <f>Eingaben!C21</f>
        <v>3.7</v>
      </c>
      <c r="E36" s="87">
        <v>0.9</v>
      </c>
      <c r="F36" s="21">
        <v>0.95</v>
      </c>
      <c r="G36" s="21">
        <f>D36+1</f>
        <v>4.7</v>
      </c>
      <c r="H36" s="21">
        <f>G36</f>
        <v>4.7</v>
      </c>
      <c r="I36" s="21">
        <f>D36</f>
        <v>3.7</v>
      </c>
      <c r="J36" s="21">
        <v>1</v>
      </c>
    </row>
    <row r="37" spans="1:30" x14ac:dyDescent="0.25">
      <c r="B37" s="4" t="s">
        <v>32</v>
      </c>
      <c r="C37" s="22">
        <f>Eingaben!$C$13</f>
        <v>15840</v>
      </c>
      <c r="D37" s="22">
        <f>C37/D36</f>
        <v>4281.0810810810808</v>
      </c>
      <c r="E37" s="22">
        <f>C37</f>
        <v>15840</v>
      </c>
      <c r="F37" s="22">
        <f>C37</f>
        <v>15840</v>
      </c>
      <c r="G37" s="22">
        <f>C37/G36</f>
        <v>3370.2127659574467</v>
      </c>
      <c r="H37" s="22">
        <f>C37/H36</f>
        <v>3370.2127659574467</v>
      </c>
      <c r="I37" s="22">
        <f>C37/I36</f>
        <v>4281.0810810810808</v>
      </c>
      <c r="J37" s="22">
        <f>Eingaben!C13</f>
        <v>15840</v>
      </c>
      <c r="L37" s="4" t="s">
        <v>32</v>
      </c>
      <c r="M37" s="5">
        <f>C37</f>
        <v>15840</v>
      </c>
      <c r="N37" s="5">
        <f t="shared" ref="N37:N42" si="71">D37</f>
        <v>4281.0810810810808</v>
      </c>
      <c r="O37" s="5">
        <f t="shared" ref="O37:O42" si="72">E37</f>
        <v>15840</v>
      </c>
      <c r="P37" s="5">
        <f t="shared" ref="P37:P42" si="73">F37</f>
        <v>15840</v>
      </c>
      <c r="Q37" s="5">
        <f t="shared" ref="Q37:Q42" si="74">G37</f>
        <v>3370.2127659574467</v>
      </c>
      <c r="R37" s="5">
        <f t="shared" ref="R37:R42" si="75">H37</f>
        <v>3370.2127659574467</v>
      </c>
      <c r="S37" s="5">
        <f t="shared" ref="S37:T42" si="76">I37</f>
        <v>4281.0810810810808</v>
      </c>
      <c r="T37" s="5">
        <f t="shared" si="76"/>
        <v>15840</v>
      </c>
      <c r="V37" s="4" t="s">
        <v>32</v>
      </c>
      <c r="W37" s="5">
        <f>C37</f>
        <v>15840</v>
      </c>
      <c r="X37" s="5">
        <f t="shared" ref="X37:X42" si="77">D37</f>
        <v>4281.0810810810808</v>
      </c>
      <c r="Y37" s="5">
        <f t="shared" ref="Y37:Y42" si="78">E37</f>
        <v>15840</v>
      </c>
      <c r="Z37" s="5">
        <f t="shared" ref="Z37:Z42" si="79">F37</f>
        <v>15840</v>
      </c>
      <c r="AA37" s="5">
        <f t="shared" ref="AA37:AA42" si="80">G37</f>
        <v>3370.2127659574467</v>
      </c>
      <c r="AB37" s="5">
        <f t="shared" ref="AB37:AB42" si="81">H37</f>
        <v>3370.2127659574467</v>
      </c>
      <c r="AC37" s="5">
        <f t="shared" ref="AC37:AD42" si="82">I37</f>
        <v>4281.0810810810808</v>
      </c>
      <c r="AD37" s="5">
        <f t="shared" si="82"/>
        <v>15840</v>
      </c>
    </row>
    <row r="38" spans="1:30" x14ac:dyDescent="0.25">
      <c r="B38" s="4" t="s">
        <v>61</v>
      </c>
      <c r="C38" s="22">
        <f>Eingaben!$C$14</f>
        <v>2160</v>
      </c>
      <c r="D38" s="22">
        <f>C38/D36</f>
        <v>583.78378378378375</v>
      </c>
      <c r="E38" s="22">
        <f>C38</f>
        <v>2160</v>
      </c>
      <c r="F38" s="22">
        <f>C38</f>
        <v>2160</v>
      </c>
      <c r="G38" s="22">
        <f>C38/G36</f>
        <v>459.57446808510639</v>
      </c>
      <c r="H38" s="22">
        <f>C38/H36</f>
        <v>459.57446808510639</v>
      </c>
      <c r="I38" s="22">
        <f>C38/I36</f>
        <v>583.78378378378375</v>
      </c>
      <c r="J38" s="22">
        <f>Eingaben!C14</f>
        <v>2160</v>
      </c>
      <c r="L38" s="4" t="s">
        <v>33</v>
      </c>
      <c r="M38" s="5">
        <f t="shared" ref="M38:M42" si="83">C38</f>
        <v>2160</v>
      </c>
      <c r="N38" s="5">
        <f t="shared" si="71"/>
        <v>583.78378378378375</v>
      </c>
      <c r="O38" s="5">
        <f t="shared" si="72"/>
        <v>2160</v>
      </c>
      <c r="P38" s="5">
        <f t="shared" si="73"/>
        <v>2160</v>
      </c>
      <c r="Q38" s="5">
        <f t="shared" si="74"/>
        <v>459.57446808510639</v>
      </c>
      <c r="R38" s="5">
        <f t="shared" si="75"/>
        <v>459.57446808510639</v>
      </c>
      <c r="S38" s="5">
        <f t="shared" si="76"/>
        <v>583.78378378378375</v>
      </c>
      <c r="T38" s="5">
        <f t="shared" si="76"/>
        <v>2160</v>
      </c>
      <c r="V38" s="4" t="s">
        <v>33</v>
      </c>
      <c r="W38" s="5">
        <f t="shared" ref="W38:W42" si="84">C38</f>
        <v>2160</v>
      </c>
      <c r="X38" s="5">
        <f t="shared" si="77"/>
        <v>583.78378378378375</v>
      </c>
      <c r="Y38" s="5">
        <f t="shared" si="78"/>
        <v>2160</v>
      </c>
      <c r="Z38" s="5">
        <f t="shared" si="79"/>
        <v>2160</v>
      </c>
      <c r="AA38" s="5">
        <f t="shared" si="80"/>
        <v>459.57446808510639</v>
      </c>
      <c r="AB38" s="5">
        <f t="shared" si="81"/>
        <v>459.57446808510639</v>
      </c>
      <c r="AC38" s="5">
        <f t="shared" si="82"/>
        <v>583.78378378378375</v>
      </c>
      <c r="AD38" s="5">
        <f t="shared" si="82"/>
        <v>2160</v>
      </c>
    </row>
    <row r="39" spans="1:30" x14ac:dyDescent="0.25">
      <c r="B39" s="10" t="s">
        <v>0</v>
      </c>
      <c r="C39" s="22">
        <f>(C37+C38)/C36</f>
        <v>18947.368421052633</v>
      </c>
      <c r="D39" s="21"/>
      <c r="E39" s="27"/>
      <c r="F39" s="22">
        <f>(F37+F38)/F36-F41</f>
        <v>17507.368421052633</v>
      </c>
      <c r="G39" s="22"/>
      <c r="H39" s="22"/>
      <c r="I39" s="21"/>
      <c r="J39" s="21"/>
      <c r="L39" s="10" t="s">
        <v>0</v>
      </c>
      <c r="M39" s="5">
        <f t="shared" si="83"/>
        <v>18947.368421052633</v>
      </c>
      <c r="N39" s="5">
        <f t="shared" si="71"/>
        <v>0</v>
      </c>
      <c r="O39" s="5">
        <f t="shared" si="72"/>
        <v>0</v>
      </c>
      <c r="P39" s="5">
        <f t="shared" si="73"/>
        <v>17507.368421052633</v>
      </c>
      <c r="Q39" s="5">
        <f t="shared" si="74"/>
        <v>0</v>
      </c>
      <c r="R39" s="5">
        <f t="shared" si="75"/>
        <v>0</v>
      </c>
      <c r="S39" s="5">
        <f t="shared" si="76"/>
        <v>0</v>
      </c>
      <c r="T39" s="5">
        <f t="shared" si="76"/>
        <v>0</v>
      </c>
      <c r="V39" s="10" t="s">
        <v>0</v>
      </c>
      <c r="W39" s="5">
        <f t="shared" si="84"/>
        <v>18947.368421052633</v>
      </c>
      <c r="X39" s="5">
        <f t="shared" si="77"/>
        <v>0</v>
      </c>
      <c r="Y39" s="5">
        <f t="shared" si="78"/>
        <v>0</v>
      </c>
      <c r="Z39" s="5">
        <f t="shared" si="79"/>
        <v>17507.368421052633</v>
      </c>
      <c r="AA39" s="5">
        <f t="shared" si="80"/>
        <v>0</v>
      </c>
      <c r="AB39" s="5">
        <f t="shared" si="81"/>
        <v>0</v>
      </c>
      <c r="AC39" s="5">
        <f t="shared" si="82"/>
        <v>0</v>
      </c>
      <c r="AD39" s="5">
        <f t="shared" si="82"/>
        <v>0</v>
      </c>
    </row>
    <row r="40" spans="1:30" x14ac:dyDescent="0.25">
      <c r="B40" s="10" t="s">
        <v>34</v>
      </c>
      <c r="C40" s="21"/>
      <c r="D40" s="22">
        <f>D37+D38</f>
        <v>4864.864864864865</v>
      </c>
      <c r="E40" s="21"/>
      <c r="F40" s="22"/>
      <c r="G40" s="22">
        <f ca="1">G37+G38-G41</f>
        <v>2803.3753586032485</v>
      </c>
      <c r="H40" s="22">
        <f ca="1">H37+H38-H41</f>
        <v>2803.3753586032485</v>
      </c>
      <c r="I40" s="22">
        <f ca="1">I37+I38-I41</f>
        <v>3561.0443744419649</v>
      </c>
      <c r="J40" s="22">
        <f>(J37+J38)/3*2</f>
        <v>12000</v>
      </c>
      <c r="L40" s="10" t="s">
        <v>34</v>
      </c>
      <c r="M40" s="5">
        <f t="shared" si="83"/>
        <v>0</v>
      </c>
      <c r="N40" s="5">
        <f t="shared" si="71"/>
        <v>4864.864864864865</v>
      </c>
      <c r="O40" s="5">
        <f t="shared" si="72"/>
        <v>0</v>
      </c>
      <c r="P40" s="5">
        <f t="shared" si="73"/>
        <v>0</v>
      </c>
      <c r="Q40" s="5">
        <f t="shared" ref="Q40:S41" ca="1" si="85">G40</f>
        <v>2803.3753586032485</v>
      </c>
      <c r="R40" s="5">
        <f t="shared" ca="1" si="85"/>
        <v>2803.3753586032485</v>
      </c>
      <c r="S40" s="5">
        <f t="shared" ca="1" si="85"/>
        <v>3561.0443744419649</v>
      </c>
      <c r="T40" s="5">
        <f t="shared" si="76"/>
        <v>12000</v>
      </c>
      <c r="V40" s="10" t="s">
        <v>34</v>
      </c>
      <c r="W40" s="5">
        <f t="shared" si="84"/>
        <v>0</v>
      </c>
      <c r="X40" s="5">
        <f t="shared" si="77"/>
        <v>4864.864864864865</v>
      </c>
      <c r="Y40" s="5">
        <f t="shared" si="78"/>
        <v>0</v>
      </c>
      <c r="Z40" s="5">
        <f t="shared" si="79"/>
        <v>0</v>
      </c>
      <c r="AA40" s="5">
        <f t="shared" ref="AA40:AC41" ca="1" si="86">G40</f>
        <v>2803.3753586032485</v>
      </c>
      <c r="AB40" s="5">
        <f t="shared" ca="1" si="86"/>
        <v>2803.3753586032485</v>
      </c>
      <c r="AC40" s="5">
        <f t="shared" ca="1" si="86"/>
        <v>3561.0443744419649</v>
      </c>
      <c r="AD40" s="5">
        <f t="shared" si="82"/>
        <v>12000</v>
      </c>
    </row>
    <row r="41" spans="1:30" x14ac:dyDescent="0.25">
      <c r="B41" s="10" t="s">
        <v>157</v>
      </c>
      <c r="C41" s="21"/>
      <c r="D41" s="22"/>
      <c r="E41" s="21"/>
      <c r="F41" s="22">
        <f>F38/3*2</f>
        <v>1440</v>
      </c>
      <c r="G41" s="22">
        <f ca="1">(G37*Simulation!$B$47+G38*Simulation!$B$46)</f>
        <v>1026.4118754393044</v>
      </c>
      <c r="H41" s="22">
        <f ca="1">(H37*Simulation!$B$47+H38*Simulation!$B$46)</f>
        <v>1026.4118754393044</v>
      </c>
      <c r="I41" s="22">
        <f ca="1">(I37*Simulation!$B$47+I38*Simulation!$B$46)</f>
        <v>1303.8204904229001</v>
      </c>
      <c r="J41" s="26">
        <f>J40/2</f>
        <v>6000</v>
      </c>
      <c r="L41" s="10" t="s">
        <v>35</v>
      </c>
      <c r="M41" s="5">
        <f t="shared" si="83"/>
        <v>0</v>
      </c>
      <c r="N41" s="5">
        <f t="shared" si="71"/>
        <v>0</v>
      </c>
      <c r="O41" s="5">
        <f t="shared" si="72"/>
        <v>0</v>
      </c>
      <c r="P41" s="5">
        <f t="shared" si="73"/>
        <v>1440</v>
      </c>
      <c r="Q41" s="5">
        <f t="shared" ca="1" si="85"/>
        <v>1026.4118754393044</v>
      </c>
      <c r="R41" s="5">
        <f t="shared" ca="1" si="85"/>
        <v>1026.4118754393044</v>
      </c>
      <c r="S41" s="5">
        <f t="shared" ca="1" si="85"/>
        <v>1303.8204904229001</v>
      </c>
      <c r="T41" s="5">
        <f t="shared" si="76"/>
        <v>6000</v>
      </c>
      <c r="V41" s="10" t="s">
        <v>35</v>
      </c>
      <c r="W41" s="5">
        <f t="shared" si="84"/>
        <v>0</v>
      </c>
      <c r="X41" s="5">
        <f t="shared" si="77"/>
        <v>0</v>
      </c>
      <c r="Y41" s="5">
        <f t="shared" si="78"/>
        <v>0</v>
      </c>
      <c r="Z41" s="5">
        <f t="shared" si="79"/>
        <v>1440</v>
      </c>
      <c r="AA41" s="5">
        <f t="shared" ca="1" si="86"/>
        <v>1026.4118754393044</v>
      </c>
      <c r="AB41" s="5">
        <f t="shared" ca="1" si="86"/>
        <v>1026.4118754393044</v>
      </c>
      <c r="AC41" s="5">
        <f t="shared" ca="1" si="86"/>
        <v>1303.8204904229001</v>
      </c>
      <c r="AD41" s="5">
        <f t="shared" si="82"/>
        <v>6000</v>
      </c>
    </row>
    <row r="42" spans="1:30" x14ac:dyDescent="0.25">
      <c r="B42" s="10" t="s">
        <v>1</v>
      </c>
      <c r="C42" s="21"/>
      <c r="D42" s="21"/>
      <c r="E42" s="22">
        <f>(E37+E38)/E36</f>
        <v>20000</v>
      </c>
      <c r="F42" s="21"/>
      <c r="G42" s="21"/>
      <c r="H42" s="21"/>
      <c r="I42" s="21"/>
      <c r="J42" s="21"/>
      <c r="L42" s="10" t="s">
        <v>1</v>
      </c>
      <c r="M42" s="5">
        <f t="shared" si="83"/>
        <v>0</v>
      </c>
      <c r="N42" s="5">
        <f t="shared" si="71"/>
        <v>0</v>
      </c>
      <c r="O42" s="5">
        <f t="shared" si="72"/>
        <v>20000</v>
      </c>
      <c r="P42" s="5">
        <f t="shared" si="73"/>
        <v>0</v>
      </c>
      <c r="Q42" s="5">
        <f t="shared" si="74"/>
        <v>0</v>
      </c>
      <c r="R42" s="5">
        <f t="shared" si="75"/>
        <v>0</v>
      </c>
      <c r="S42" s="5">
        <f t="shared" si="76"/>
        <v>0</v>
      </c>
      <c r="T42" s="5">
        <f t="shared" si="76"/>
        <v>0</v>
      </c>
      <c r="V42" s="10" t="s">
        <v>1</v>
      </c>
      <c r="W42" s="5">
        <f t="shared" si="84"/>
        <v>0</v>
      </c>
      <c r="X42" s="5">
        <f t="shared" si="77"/>
        <v>0</v>
      </c>
      <c r="Y42" s="5">
        <f t="shared" si="78"/>
        <v>20000</v>
      </c>
      <c r="Z42" s="5">
        <f t="shared" si="79"/>
        <v>0</v>
      </c>
      <c r="AA42" s="5">
        <f t="shared" si="80"/>
        <v>0</v>
      </c>
      <c r="AB42" s="5">
        <f t="shared" si="81"/>
        <v>0</v>
      </c>
      <c r="AC42" s="5">
        <f t="shared" si="82"/>
        <v>0</v>
      </c>
      <c r="AD42" s="5">
        <f t="shared" si="82"/>
        <v>0</v>
      </c>
    </row>
    <row r="43" spans="1:30" x14ac:dyDescent="0.25">
      <c r="B43" s="18" t="s">
        <v>57</v>
      </c>
      <c r="C43" s="28">
        <f>C39*Eingaben!$C$7</f>
        <v>1894.7368421052633</v>
      </c>
      <c r="D43" s="28">
        <f>D40*Eingaben!$C$8</f>
        <v>1459.4594594594594</v>
      </c>
      <c r="E43" s="28">
        <f>E42*Eingaben!$C$9</f>
        <v>1083.3333333333333</v>
      </c>
      <c r="F43" s="28">
        <f>F39*Eingaben!$C$7+F40*Eingaben!$C$7+F41*Eingaben!$C$10</f>
        <v>1909.1368421052634</v>
      </c>
      <c r="G43" s="28">
        <f ca="1">G40*Eingaben!$C$8+G41*Eingaben!$C$10</f>
        <v>953.917913879298</v>
      </c>
      <c r="H43" s="28">
        <f ca="1">H40*Eingaben!$C$8+H41*Eingaben!$C$10</f>
        <v>953.917913879298</v>
      </c>
      <c r="I43" s="28">
        <f ca="1">I40*Eingaben!$C$8+I41*Eingaben!$C$10</f>
        <v>1211.7335662791086</v>
      </c>
      <c r="J43" s="28">
        <f>J40*Eingaben!$C$8+J41*Eingaben!$C$10</f>
        <v>4260</v>
      </c>
      <c r="L43" s="11" t="s">
        <v>37</v>
      </c>
      <c r="M43" s="7">
        <f>M39*Eingaben!$C$7*Eingaben!H8</f>
        <v>2355.1080593479151</v>
      </c>
      <c r="N43" s="7">
        <f>N40*Eingaben!$C$8*Eingaben!H9</f>
        <v>1814.0697213896099</v>
      </c>
      <c r="O43" s="7">
        <f>O42*Eingaben!$C$9*Eingaben!H10</f>
        <v>1346.5548394882753</v>
      </c>
      <c r="P43" s="7">
        <f>P39*Eingaben!$C$7*Eingaben!H8+P41*Eingaben!$C$10</f>
        <v>2334.5198468374738</v>
      </c>
      <c r="Q43" s="7">
        <f ca="1">G40*Eingaben!$C$8*Eingaben!H9+G41*Eingaben!$C$10</f>
        <v>1158.2618571987682</v>
      </c>
      <c r="R43" s="7">
        <f ca="1">H40*Eingaben!$C$8*Eingaben!H9+H41*Eingaben!$C$10</f>
        <v>1158.2618571987682</v>
      </c>
      <c r="S43" s="7">
        <f ca="1">S40*Eingaben!$C$8*Eingaben!H9+S41*Eingaben!$C$10</f>
        <v>1471.3056023876247</v>
      </c>
      <c r="T43" s="7">
        <f>T40*Eingaben!$C$8*Eingaben!H9+T41*Eingaben!$C$10</f>
        <v>5134.7053127610379</v>
      </c>
      <c r="V43" s="11" t="s">
        <v>37</v>
      </c>
      <c r="W43" s="7">
        <f>W39*Eingaben!$C$7*Eingaben!I8</f>
        <v>3023.1692934000835</v>
      </c>
      <c r="X43" s="7">
        <f>X40*Eingaben!$C$8*Eingaben!I9</f>
        <v>2328.657428700064</v>
      </c>
      <c r="Y43" s="7">
        <f>Y42*Eingaben!$C$9*Eingaben!I10</f>
        <v>1728.5250358097696</v>
      </c>
      <c r="Z43" s="7">
        <f>Z39*Eingaben!$C$7*Eingaben!I8+Z41*Eingaben!$C$10</f>
        <v>2951.8084271016774</v>
      </c>
      <c r="AA43" s="7">
        <f ca="1">AA40*Eingaben!$C$8*Eingaben!I9+AA41*Eingaben!$C$10</f>
        <v>1454.7927041155899</v>
      </c>
      <c r="AB43" s="7">
        <f ca="1">AB40*Eingaben!$C$8*Eingaben!I9+AB41*Eingaben!$C$10</f>
        <v>1454.7927041155899</v>
      </c>
      <c r="AC43" s="7">
        <f ca="1">AC40*Eingaben!$C$8*Eingaben!I9+AC41*Eingaben!$C$10</f>
        <v>1847.979921444128</v>
      </c>
      <c r="AD43" s="7">
        <f>AD40*Eingaben!$C$8*Eingaben!I9+AD41*Eingaben!$C$10</f>
        <v>6404.0216574601582</v>
      </c>
    </row>
    <row r="44" spans="1:30" x14ac:dyDescent="0.25">
      <c r="B44" s="21"/>
      <c r="C44" s="21"/>
      <c r="D44" s="21"/>
      <c r="E44" s="4"/>
      <c r="F44" s="21"/>
      <c r="G44" s="21"/>
      <c r="H44" s="21"/>
      <c r="I44" s="21"/>
      <c r="J44" s="21"/>
      <c r="L44" s="4"/>
      <c r="M44" s="5"/>
      <c r="N44" s="5"/>
      <c r="O44" s="5"/>
      <c r="P44" s="5"/>
      <c r="Q44" s="5"/>
      <c r="R44" s="5"/>
      <c r="S44" s="5"/>
      <c r="T44" s="5"/>
      <c r="V44" s="4"/>
      <c r="W44" s="5"/>
      <c r="X44" s="5"/>
      <c r="Y44" s="5"/>
      <c r="Z44" s="5"/>
      <c r="AA44" s="5"/>
      <c r="AB44" s="5"/>
      <c r="AC44" s="5"/>
    </row>
    <row r="45" spans="1:30" x14ac:dyDescent="0.25">
      <c r="B45" s="21"/>
      <c r="C45" s="21"/>
      <c r="D45" s="21"/>
      <c r="E45" s="4"/>
      <c r="F45" s="21"/>
      <c r="G45" s="21"/>
      <c r="H45" s="21"/>
      <c r="I45" s="21"/>
      <c r="J45" s="21"/>
      <c r="L45" s="4"/>
      <c r="M45" s="5"/>
      <c r="N45" s="5"/>
      <c r="O45" s="5"/>
      <c r="P45" s="5"/>
      <c r="Q45" s="5"/>
      <c r="R45" s="5"/>
      <c r="S45" s="5"/>
      <c r="T45" s="5"/>
      <c r="V45" s="4"/>
      <c r="W45" s="5"/>
      <c r="X45" s="5"/>
      <c r="Y45" s="5"/>
      <c r="Z45" s="5"/>
      <c r="AA45" s="5"/>
      <c r="AB45" s="5"/>
      <c r="AC45" s="5"/>
    </row>
    <row r="46" spans="1:30" x14ac:dyDescent="0.25">
      <c r="A46" s="61" t="s">
        <v>58</v>
      </c>
      <c r="B46" s="59"/>
      <c r="C46" s="59"/>
      <c r="D46" s="59"/>
      <c r="E46" s="62"/>
      <c r="F46" s="59"/>
      <c r="G46" s="59"/>
      <c r="H46" s="59"/>
      <c r="I46" s="59"/>
      <c r="J46" s="59"/>
      <c r="L46" s="4"/>
      <c r="M46" s="5"/>
      <c r="N46" s="5"/>
      <c r="O46" s="5"/>
      <c r="P46" s="5"/>
      <c r="Q46" s="5"/>
      <c r="R46" s="5"/>
      <c r="S46" s="5"/>
      <c r="T46" s="5"/>
      <c r="V46" s="4"/>
      <c r="W46" s="5"/>
      <c r="X46" s="5"/>
      <c r="Y46" s="5"/>
      <c r="Z46" s="5"/>
      <c r="AA46" s="5"/>
      <c r="AB46" s="5"/>
      <c r="AC46" s="5"/>
    </row>
    <row r="47" spans="1:30" x14ac:dyDescent="0.25">
      <c r="B47" s="21"/>
      <c r="C47" s="21"/>
      <c r="D47" s="21"/>
      <c r="E47" s="4"/>
      <c r="F47" s="21"/>
      <c r="G47" s="21"/>
      <c r="H47" s="21"/>
      <c r="I47" s="21"/>
      <c r="J47" s="21"/>
      <c r="O47" s="4"/>
      <c r="Y47" s="4"/>
    </row>
    <row r="48" spans="1:30" x14ac:dyDescent="0.25">
      <c r="B48" s="21" t="s">
        <v>59</v>
      </c>
      <c r="C48" s="22">
        <f>C24</f>
        <v>14370.321</v>
      </c>
      <c r="D48" s="22">
        <f t="shared" ref="D48:H48" si="87">D24</f>
        <v>13677.86</v>
      </c>
      <c r="E48" s="22">
        <f t="shared" si="87"/>
        <v>24448.5</v>
      </c>
      <c r="F48" s="22">
        <f t="shared" si="87"/>
        <v>14458.5</v>
      </c>
      <c r="G48" s="22">
        <f t="shared" si="87"/>
        <v>28179.864000000001</v>
      </c>
      <c r="H48" s="22">
        <f t="shared" si="87"/>
        <v>24255.72</v>
      </c>
      <c r="I48" s="22">
        <f t="shared" ref="I48:J48" si="88">I24</f>
        <v>13677.86</v>
      </c>
      <c r="J48" s="22">
        <f t="shared" si="88"/>
        <v>9103.5</v>
      </c>
      <c r="L48" t="s">
        <v>36</v>
      </c>
      <c r="M48" s="5">
        <f>M24</f>
        <v>14370.321</v>
      </c>
      <c r="N48" s="5">
        <f t="shared" ref="N48:S48" si="89">N24</f>
        <v>13677.86</v>
      </c>
      <c r="O48" s="5">
        <f t="shared" si="89"/>
        <v>19724.25</v>
      </c>
      <c r="P48" s="5">
        <f t="shared" si="89"/>
        <v>14458.5</v>
      </c>
      <c r="Q48" s="5">
        <f t="shared" si="89"/>
        <v>28179.864000000001</v>
      </c>
      <c r="R48" s="5">
        <f t="shared" si="89"/>
        <v>24255.72</v>
      </c>
      <c r="S48" s="5">
        <f t="shared" si="89"/>
        <v>13677.86</v>
      </c>
      <c r="T48" s="5">
        <f t="shared" ref="T48" si="90">T24</f>
        <v>9103.5</v>
      </c>
      <c r="V48" t="s">
        <v>36</v>
      </c>
      <c r="W48" s="5">
        <f>W24</f>
        <v>14370.321</v>
      </c>
      <c r="X48" s="5">
        <f t="shared" ref="X48:AC48" si="91">X24</f>
        <v>13677.86</v>
      </c>
      <c r="Y48" s="5">
        <f t="shared" si="91"/>
        <v>19724.25</v>
      </c>
      <c r="Z48" s="5">
        <f t="shared" si="91"/>
        <v>14458.5</v>
      </c>
      <c r="AA48" s="5">
        <f t="shared" si="91"/>
        <v>28179.864000000001</v>
      </c>
      <c r="AB48" s="5">
        <f t="shared" si="91"/>
        <v>24255.72</v>
      </c>
      <c r="AC48" s="5">
        <f t="shared" si="91"/>
        <v>13677.86</v>
      </c>
      <c r="AD48" s="5">
        <f t="shared" ref="AD48" si="92">AD24</f>
        <v>9103.5</v>
      </c>
    </row>
    <row r="49" spans="2:30" x14ac:dyDescent="0.25">
      <c r="B49" s="21" t="s">
        <v>39</v>
      </c>
      <c r="C49" s="21">
        <f>C33</f>
        <v>750</v>
      </c>
      <c r="D49" s="21">
        <f t="shared" ref="D49:H49" si="93">D33</f>
        <v>550</v>
      </c>
      <c r="E49" s="21">
        <f t="shared" si="93"/>
        <v>850</v>
      </c>
      <c r="F49" s="21">
        <f t="shared" si="93"/>
        <v>750</v>
      </c>
      <c r="G49" s="21">
        <f t="shared" si="93"/>
        <v>550</v>
      </c>
      <c r="H49" s="21">
        <f t="shared" si="93"/>
        <v>550</v>
      </c>
      <c r="I49" s="21">
        <f t="shared" ref="I49:J49" si="94">I33</f>
        <v>550</v>
      </c>
      <c r="J49" s="21">
        <f t="shared" si="94"/>
        <v>0</v>
      </c>
      <c r="L49" t="s">
        <v>39</v>
      </c>
      <c r="M49" s="5">
        <f>M33</f>
        <v>932.23027349188294</v>
      </c>
      <c r="N49" s="5">
        <f t="shared" ref="N49:S49" si="95">N33</f>
        <v>683.63553389404751</v>
      </c>
      <c r="O49" s="5">
        <f t="shared" si="95"/>
        <v>1056.5276432908006</v>
      </c>
      <c r="P49" s="5">
        <f t="shared" si="95"/>
        <v>932.23027349188294</v>
      </c>
      <c r="Q49" s="5">
        <f t="shared" si="95"/>
        <v>683.63553389404751</v>
      </c>
      <c r="R49" s="5">
        <f t="shared" si="95"/>
        <v>683.63553389404751</v>
      </c>
      <c r="S49" s="5">
        <f t="shared" si="95"/>
        <v>683.63553389404751</v>
      </c>
      <c r="T49" s="5">
        <f t="shared" ref="T49" si="96">T33</f>
        <v>0</v>
      </c>
      <c r="V49" t="s">
        <v>39</v>
      </c>
      <c r="W49" s="5">
        <f>W33</f>
        <v>1196.6711786375329</v>
      </c>
      <c r="X49" s="5">
        <f t="shared" ref="X49:AC49" si="97">X33</f>
        <v>877.55886433419084</v>
      </c>
      <c r="Y49" s="5">
        <f t="shared" si="97"/>
        <v>1356.2273357892041</v>
      </c>
      <c r="Z49" s="5">
        <f t="shared" si="97"/>
        <v>1196.6711786375329</v>
      </c>
      <c r="AA49" s="5">
        <f t="shared" si="97"/>
        <v>877.55886433419084</v>
      </c>
      <c r="AB49" s="5">
        <f t="shared" si="97"/>
        <v>877.55886433419084</v>
      </c>
      <c r="AC49" s="5">
        <f t="shared" si="97"/>
        <v>877.55886433419084</v>
      </c>
      <c r="AD49" s="5">
        <f t="shared" ref="AD49" si="98">AD33</f>
        <v>0</v>
      </c>
    </row>
    <row r="50" spans="2:30" x14ac:dyDescent="0.25">
      <c r="B50" s="21" t="s">
        <v>60</v>
      </c>
      <c r="C50" s="22">
        <f>C43</f>
        <v>1894.7368421052633</v>
      </c>
      <c r="D50" s="22">
        <f t="shared" ref="D50:F50" si="99">D43</f>
        <v>1459.4594594594594</v>
      </c>
      <c r="E50" s="22">
        <f t="shared" si="99"/>
        <v>1083.3333333333333</v>
      </c>
      <c r="F50" s="22">
        <f t="shared" si="99"/>
        <v>1909.1368421052634</v>
      </c>
      <c r="G50" s="22">
        <f ca="1">G43</f>
        <v>953.917913879298</v>
      </c>
      <c r="H50" s="22">
        <f ca="1">H43</f>
        <v>953.917913879298</v>
      </c>
      <c r="I50" s="22">
        <f ca="1">I43</f>
        <v>1211.7335662791086</v>
      </c>
      <c r="J50" s="22">
        <f t="shared" ref="J50" si="100">J43</f>
        <v>4260</v>
      </c>
      <c r="L50" t="s">
        <v>40</v>
      </c>
      <c r="M50" s="5">
        <f>M43</f>
        <v>2355.1080593479151</v>
      </c>
      <c r="N50" s="5">
        <f t="shared" ref="N50:P50" si="101">N43</f>
        <v>1814.0697213896099</v>
      </c>
      <c r="O50" s="5">
        <f t="shared" si="101"/>
        <v>1346.5548394882753</v>
      </c>
      <c r="P50" s="5">
        <f t="shared" si="101"/>
        <v>2334.5198468374738</v>
      </c>
      <c r="Q50" s="5">
        <f ca="1">Q43</f>
        <v>1158.2618571987682</v>
      </c>
      <c r="R50" s="5">
        <f ca="1">R43</f>
        <v>1158.2618571987682</v>
      </c>
      <c r="S50" s="5">
        <f ca="1">S43</f>
        <v>1471.3056023876247</v>
      </c>
      <c r="T50" s="5">
        <f t="shared" ref="T50" si="102">T43</f>
        <v>5134.7053127610379</v>
      </c>
      <c r="V50" t="s">
        <v>40</v>
      </c>
      <c r="W50" s="5">
        <f>W43</f>
        <v>3023.1692934000835</v>
      </c>
      <c r="X50" s="5">
        <f t="shared" ref="X50:Z50" si="103">X43</f>
        <v>2328.657428700064</v>
      </c>
      <c r="Y50" s="5">
        <f t="shared" si="103"/>
        <v>1728.5250358097696</v>
      </c>
      <c r="Z50" s="5">
        <f t="shared" si="103"/>
        <v>2951.8084271016774</v>
      </c>
      <c r="AA50" s="5">
        <f ca="1">AA43</f>
        <v>1454.7927041155899</v>
      </c>
      <c r="AB50" s="5">
        <f ca="1">AB43</f>
        <v>1454.7927041155899</v>
      </c>
      <c r="AC50" s="5">
        <f ca="1">AC43</f>
        <v>1847.979921444128</v>
      </c>
      <c r="AD50" s="5">
        <f t="shared" ref="AD50" si="104">AD43</f>
        <v>6404.0216574601582</v>
      </c>
    </row>
    <row r="51" spans="2:30" x14ac:dyDescent="0.25">
      <c r="B51" s="21"/>
      <c r="C51" s="21"/>
      <c r="D51" s="21"/>
      <c r="E51" s="21"/>
      <c r="F51" s="21"/>
      <c r="G51" s="21"/>
      <c r="H51" s="21"/>
      <c r="I51" s="21"/>
      <c r="J51" s="21"/>
    </row>
    <row r="52" spans="2:30" x14ac:dyDescent="0.25">
      <c r="B52" s="29" t="s">
        <v>186</v>
      </c>
      <c r="C52" s="21"/>
      <c r="D52" s="21"/>
      <c r="E52" s="21"/>
      <c r="F52" s="21"/>
      <c r="G52" s="21"/>
      <c r="H52" s="21"/>
      <c r="I52" s="21"/>
      <c r="J52" s="21"/>
      <c r="L52" s="1" t="s">
        <v>187</v>
      </c>
      <c r="V52" s="1" t="s">
        <v>191</v>
      </c>
    </row>
    <row r="53" spans="2:30" x14ac:dyDescent="0.25">
      <c r="B53" s="21" t="s">
        <v>36</v>
      </c>
      <c r="C53" s="22">
        <f>C48</f>
        <v>14370.321</v>
      </c>
      <c r="D53" s="22">
        <f t="shared" ref="D53:H53" si="105">D48</f>
        <v>13677.86</v>
      </c>
      <c r="E53" s="22">
        <f t="shared" si="105"/>
        <v>24448.5</v>
      </c>
      <c r="F53" s="22">
        <f t="shared" si="105"/>
        <v>14458.5</v>
      </c>
      <c r="G53" s="22">
        <f t="shared" si="105"/>
        <v>28179.864000000001</v>
      </c>
      <c r="H53" s="22">
        <f t="shared" si="105"/>
        <v>24255.72</v>
      </c>
      <c r="I53" s="22">
        <f t="shared" ref="I53:J53" si="106">I48</f>
        <v>13677.86</v>
      </c>
      <c r="J53" s="22">
        <f t="shared" si="106"/>
        <v>9103.5</v>
      </c>
      <c r="L53" t="s">
        <v>36</v>
      </c>
      <c r="M53" s="5">
        <f>M48</f>
        <v>14370.321</v>
      </c>
      <c r="N53" s="5">
        <f t="shared" ref="N53:S53" si="107">N48</f>
        <v>13677.86</v>
      </c>
      <c r="O53" s="5">
        <f t="shared" si="107"/>
        <v>19724.25</v>
      </c>
      <c r="P53" s="5">
        <f t="shared" si="107"/>
        <v>14458.5</v>
      </c>
      <c r="Q53" s="5">
        <f t="shared" si="107"/>
        <v>28179.864000000001</v>
      </c>
      <c r="R53" s="5">
        <f t="shared" si="107"/>
        <v>24255.72</v>
      </c>
      <c r="S53" s="5">
        <f t="shared" si="107"/>
        <v>13677.86</v>
      </c>
      <c r="T53" s="5">
        <f t="shared" ref="T53" si="108">T48</f>
        <v>9103.5</v>
      </c>
      <c r="V53" t="s">
        <v>36</v>
      </c>
      <c r="W53" s="5">
        <f>W48</f>
        <v>14370.321</v>
      </c>
      <c r="X53" s="5">
        <f t="shared" ref="X53:AC53" si="109">X48</f>
        <v>13677.86</v>
      </c>
      <c r="Y53" s="5">
        <f t="shared" si="109"/>
        <v>19724.25</v>
      </c>
      <c r="Z53" s="5">
        <f t="shared" si="109"/>
        <v>14458.5</v>
      </c>
      <c r="AA53" s="5">
        <f t="shared" si="109"/>
        <v>28179.864000000001</v>
      </c>
      <c r="AB53" s="5">
        <f t="shared" si="109"/>
        <v>24255.72</v>
      </c>
      <c r="AC53" s="5">
        <f t="shared" si="109"/>
        <v>13677.86</v>
      </c>
      <c r="AD53" s="5">
        <f t="shared" ref="AD53" si="110">AD48</f>
        <v>9103.5</v>
      </c>
    </row>
    <row r="54" spans="2:30" x14ac:dyDescent="0.25">
      <c r="B54" s="21" t="s">
        <v>185</v>
      </c>
      <c r="C54" s="22">
        <f>C49*Eingaben!$C$5</f>
        <v>15000</v>
      </c>
      <c r="D54" s="22">
        <f>D49*Eingaben!$C$5</f>
        <v>11000</v>
      </c>
      <c r="E54" s="22">
        <f>E49*Eingaben!$C$5</f>
        <v>17000</v>
      </c>
      <c r="F54" s="22">
        <f>F49*Eingaben!$C$5</f>
        <v>15000</v>
      </c>
      <c r="G54" s="22">
        <f>G49*Eingaben!$C$5</f>
        <v>11000</v>
      </c>
      <c r="H54" s="22">
        <f>H49*Eingaben!$C$5</f>
        <v>11000</v>
      </c>
      <c r="I54" s="22">
        <f>I49*Eingaben!$C$5</f>
        <v>11000</v>
      </c>
      <c r="J54" s="22">
        <f>J49*Eingaben!$C$5</f>
        <v>0</v>
      </c>
      <c r="L54" t="s">
        <v>188</v>
      </c>
      <c r="M54" s="22">
        <f>M49*Eingaben!$C$5</f>
        <v>18644.605469837657</v>
      </c>
      <c r="N54" s="22">
        <f>N49*Eingaben!$C$5</f>
        <v>13672.71067788095</v>
      </c>
      <c r="O54" s="22">
        <f>O49*Eingaben!$C$5</f>
        <v>21130.552865816011</v>
      </c>
      <c r="P54" s="22">
        <f>P49*Eingaben!$C$5</f>
        <v>18644.605469837657</v>
      </c>
      <c r="Q54" s="22">
        <f>Q49*Eingaben!$C$5</f>
        <v>13672.71067788095</v>
      </c>
      <c r="R54" s="22">
        <f>R49*Eingaben!$C$5</f>
        <v>13672.71067788095</v>
      </c>
      <c r="S54" s="22">
        <f>S49*Eingaben!$C$5</f>
        <v>13672.71067788095</v>
      </c>
      <c r="T54" s="22">
        <f>T49*Eingaben!$C$5</f>
        <v>0</v>
      </c>
      <c r="V54" t="s">
        <v>188</v>
      </c>
      <c r="W54" s="22">
        <f>W49*Eingaben!$C$5</f>
        <v>23933.423572750657</v>
      </c>
      <c r="X54" s="22">
        <f>X49*Eingaben!$C$5</f>
        <v>17551.177286683818</v>
      </c>
      <c r="Y54" s="22">
        <f>Y49*Eingaben!$C$5</f>
        <v>27124.546715784083</v>
      </c>
      <c r="Z54" s="22">
        <f>Z49*Eingaben!$C$5</f>
        <v>23933.423572750657</v>
      </c>
      <c r="AA54" s="22">
        <f>AA49*Eingaben!$C$5</f>
        <v>17551.177286683818</v>
      </c>
      <c r="AB54" s="22">
        <f>AB49*Eingaben!$C$5</f>
        <v>17551.177286683818</v>
      </c>
      <c r="AC54" s="22">
        <f>AC49*Eingaben!$C$5</f>
        <v>17551.177286683818</v>
      </c>
      <c r="AD54" s="22">
        <f>AD49*Eingaben!$C$5</f>
        <v>0</v>
      </c>
    </row>
    <row r="55" spans="2:30" x14ac:dyDescent="0.25">
      <c r="B55" s="21" t="s">
        <v>184</v>
      </c>
      <c r="C55" s="22">
        <f>C50*Eingaben!$C$5</f>
        <v>37894.736842105267</v>
      </c>
      <c r="D55" s="22">
        <f>D50*Eingaben!$C$5</f>
        <v>29189.189189189186</v>
      </c>
      <c r="E55" s="22">
        <f>E50*Eingaben!$C$5</f>
        <v>21666.666666666664</v>
      </c>
      <c r="F55" s="22">
        <f>F50*Eingaben!$C$5</f>
        <v>38182.736842105267</v>
      </c>
      <c r="G55" s="22">
        <f ca="1">G50*Eingaben!$C$5</f>
        <v>19078.358277585961</v>
      </c>
      <c r="H55" s="22">
        <f ca="1">H50*Eingaben!$C$5</f>
        <v>19078.358277585961</v>
      </c>
      <c r="I55" s="22">
        <f ca="1">I50*Eingaben!$C$5</f>
        <v>24234.671325582171</v>
      </c>
      <c r="J55" s="22">
        <f>J50*Eingaben!$C$5</f>
        <v>85200</v>
      </c>
      <c r="L55" t="s">
        <v>189</v>
      </c>
      <c r="M55" s="22">
        <f>M50*Eingaben!$C$5</f>
        <v>47102.161186958299</v>
      </c>
      <c r="N55" s="22">
        <f>N50*Eingaben!$C$5</f>
        <v>36281.394427792198</v>
      </c>
      <c r="O55" s="22">
        <f>O50*Eingaben!$C$5</f>
        <v>26931.096789765506</v>
      </c>
      <c r="P55" s="22">
        <f>P50*Eingaben!$C$5</f>
        <v>46690.396936749472</v>
      </c>
      <c r="Q55" s="22">
        <f ca="1">Q50*Eingaben!$C$5</f>
        <v>23165.237143975362</v>
      </c>
      <c r="R55" s="22">
        <f ca="1">R50*Eingaben!$C$5</f>
        <v>23165.237143975362</v>
      </c>
      <c r="S55" s="22">
        <f ca="1">S50*Eingaben!$C$5</f>
        <v>29426.112047752496</v>
      </c>
      <c r="T55" s="22">
        <f>T50*Eingaben!$C$5</f>
        <v>102694.10625522076</v>
      </c>
      <c r="V55" t="s">
        <v>190</v>
      </c>
      <c r="W55" s="22">
        <f>W50*Eingaben!$C$5</f>
        <v>60463.385868001671</v>
      </c>
      <c r="X55" s="22">
        <f>X50*Eingaben!$C$5</f>
        <v>46573.148574001279</v>
      </c>
      <c r="Y55" s="22">
        <f>Y50*Eingaben!$C$5</f>
        <v>34570.500716195391</v>
      </c>
      <c r="Z55" s="22">
        <f>Z50*Eingaben!$C$5</f>
        <v>59036.168542033549</v>
      </c>
      <c r="AA55" s="22">
        <f ca="1">AA50*Eingaben!$C$5</f>
        <v>29095.854082311798</v>
      </c>
      <c r="AB55" s="22">
        <f ca="1">AB50*Eingaben!$C$5</f>
        <v>29095.854082311798</v>
      </c>
      <c r="AC55" s="22">
        <f ca="1">AC50*Eingaben!$C$5</f>
        <v>36959.598428882557</v>
      </c>
      <c r="AD55" s="22">
        <f>AD50*Eingaben!$C$5</f>
        <v>128080.43314920316</v>
      </c>
    </row>
    <row r="56" spans="2:30" x14ac:dyDescent="0.25">
      <c r="B56" s="21"/>
      <c r="C56" s="21"/>
      <c r="D56" s="21"/>
      <c r="E56" s="21"/>
      <c r="F56" s="21"/>
      <c r="G56" s="21"/>
      <c r="H56" s="21"/>
      <c r="I56" s="21"/>
      <c r="J56" s="21"/>
    </row>
    <row r="57" spans="2:30" x14ac:dyDescent="0.25">
      <c r="B57" s="30" t="s">
        <v>183</v>
      </c>
      <c r="C57" s="24">
        <f>SUM(C53:C56)</f>
        <v>67265.057842105263</v>
      </c>
      <c r="D57" s="24">
        <f t="shared" ref="D57:F57" si="111">SUM(D53:D56)</f>
        <v>53867.049189189187</v>
      </c>
      <c r="E57" s="24">
        <f>SUM(E53:E56)</f>
        <v>63115.166666666664</v>
      </c>
      <c r="F57" s="24">
        <f t="shared" si="111"/>
        <v>67641.236842105267</v>
      </c>
      <c r="G57" s="24">
        <f ca="1">SUM(G53:G56)</f>
        <v>58258.222277585963</v>
      </c>
      <c r="H57" s="24">
        <f ca="1">SUM(H53:H56)</f>
        <v>54334.078277585962</v>
      </c>
      <c r="I57" s="24">
        <f ca="1">SUM(I53:I56)</f>
        <v>48912.531325582167</v>
      </c>
      <c r="J57" s="24">
        <f t="shared" ref="J57" si="112">SUM(J53:J56)</f>
        <v>94303.5</v>
      </c>
      <c r="L57" s="30" t="s">
        <v>183</v>
      </c>
      <c r="M57" s="8">
        <f>SUM(M53:M56)</f>
        <v>80117.087656795949</v>
      </c>
      <c r="N57" s="8">
        <f t="shared" ref="N57" si="113">SUM(N53:N56)</f>
        <v>63631.965105673153</v>
      </c>
      <c r="O57" s="8">
        <f t="shared" ref="O57" si="114">SUM(O53:O56)</f>
        <v>67785.89965558151</v>
      </c>
      <c r="P57" s="8">
        <f t="shared" ref="P57" si="115">SUM(P53:P56)</f>
        <v>79793.502406587126</v>
      </c>
      <c r="Q57" s="8">
        <f ca="1">SUM(Q53:Q56)</f>
        <v>65017.811821856318</v>
      </c>
      <c r="R57" s="8">
        <f ca="1">SUM(R53:R56)</f>
        <v>61093.667821856317</v>
      </c>
      <c r="S57" s="8">
        <f ca="1">SUM(S53:S56)</f>
        <v>56776.682725633451</v>
      </c>
      <c r="T57" s="8">
        <f t="shared" ref="T57" si="116">SUM(T53:T56)</f>
        <v>111797.60625522076</v>
      </c>
      <c r="V57" s="30" t="s">
        <v>183</v>
      </c>
      <c r="W57" s="8">
        <f>SUM(W53:W56)</f>
        <v>98767.130440752328</v>
      </c>
      <c r="X57" s="8">
        <f t="shared" ref="X57" si="117">SUM(X53:X56)</f>
        <v>77802.185860685102</v>
      </c>
      <c r="Y57" s="8">
        <f t="shared" ref="Y57" si="118">SUM(Y53:Y56)</f>
        <v>81419.297431979474</v>
      </c>
      <c r="Z57" s="8">
        <f t="shared" ref="Z57" si="119">SUM(Z53:Z56)</f>
        <v>97428.092114784202</v>
      </c>
      <c r="AA57" s="8">
        <f ca="1">SUM(AA53:AA56)</f>
        <v>74826.895368995611</v>
      </c>
      <c r="AB57" s="8">
        <f ca="1">SUM(AB53:AB56)</f>
        <v>70902.75136899561</v>
      </c>
      <c r="AC57" s="8">
        <f ca="1">SUM(AC53:AC56)</f>
        <v>68188.635715566372</v>
      </c>
      <c r="AD57" s="8">
        <f t="shared" ref="AD57" si="120">SUM(AD53:AD56)</f>
        <v>137183.93314920316</v>
      </c>
    </row>
    <row r="58" spans="2:30" x14ac:dyDescent="0.25">
      <c r="B58" s="29"/>
      <c r="C58" s="31"/>
      <c r="D58" s="31"/>
      <c r="E58" s="31"/>
      <c r="F58" s="31"/>
      <c r="G58" s="31"/>
      <c r="H58" s="31"/>
      <c r="I58" s="31"/>
      <c r="J58" s="31"/>
      <c r="L58" s="1"/>
      <c r="M58" s="16"/>
      <c r="N58" s="16"/>
      <c r="O58" s="16"/>
      <c r="P58" s="16"/>
      <c r="Q58" s="16"/>
      <c r="R58" s="16"/>
      <c r="S58" s="16"/>
      <c r="T58" s="16"/>
      <c r="V58" s="1"/>
      <c r="W58" s="16"/>
      <c r="X58" s="16"/>
      <c r="Y58" s="16"/>
      <c r="Z58" s="16"/>
      <c r="AA58" s="16"/>
      <c r="AB58" s="16"/>
      <c r="AC58" s="16"/>
    </row>
    <row r="59" spans="2:30" x14ac:dyDescent="0.25">
      <c r="I59" s="21"/>
      <c r="J59" s="21"/>
      <c r="L59" s="4"/>
    </row>
    <row r="60" spans="2:30" x14ac:dyDescent="0.25">
      <c r="I60" s="21"/>
      <c r="J60" s="21"/>
    </row>
    <row r="61" spans="2:30" x14ac:dyDescent="0.25">
      <c r="I61" s="21"/>
      <c r="J61" s="21"/>
    </row>
    <row r="62" spans="2:30" x14ac:dyDescent="0.25">
      <c r="I62" s="21"/>
      <c r="J62" s="21"/>
    </row>
    <row r="63" spans="2:30" x14ac:dyDescent="0.25">
      <c r="I63" s="21"/>
      <c r="J63" s="21"/>
    </row>
  </sheetData>
  <mergeCells count="2">
    <mergeCell ref="K4:L4"/>
    <mergeCell ref="U4:V4"/>
  </mergeCells>
  <pageMargins left="0.23622047244094491" right="0.23622047244094491" top="0.74803149606299213" bottom="0.74803149606299213" header="0.31496062992125984" footer="0.31496062992125984"/>
  <pageSetup paperSize="9" scale="90" orientation="landscape" horizontalDpi="0" verticalDpi="0" r:id="rId1"/>
  <headerFooter>
    <oddFooter>&amp;Laufgestellt: Horst Winter&amp;C&amp;D&amp;RSeite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8AAB-344D-4BCE-B782-374B0066F3F8}">
  <dimension ref="A3:H12"/>
  <sheetViews>
    <sheetView workbookViewId="0">
      <selection activeCell="E25" sqref="E25"/>
    </sheetView>
  </sheetViews>
  <sheetFormatPr baseColWidth="10" defaultRowHeight="15" x14ac:dyDescent="0.25"/>
  <cols>
    <col min="1" max="1" width="2.42578125" customWidth="1"/>
    <col min="2" max="2" width="57" customWidth="1"/>
    <col min="4" max="4" width="6.85546875" bestFit="1" customWidth="1"/>
    <col min="6" max="6" width="7.42578125" customWidth="1"/>
    <col min="8" max="8" width="7" customWidth="1"/>
  </cols>
  <sheetData>
    <row r="3" spans="1:8" ht="15.75" x14ac:dyDescent="0.25">
      <c r="A3" s="1" t="s">
        <v>82</v>
      </c>
      <c r="B3" s="66"/>
      <c r="C3" s="67"/>
      <c r="D3" s="67"/>
      <c r="E3" s="67"/>
      <c r="F3" s="67"/>
      <c r="G3" s="67"/>
      <c r="H3" s="67"/>
    </row>
    <row r="4" spans="1:8" ht="15.75" x14ac:dyDescent="0.25">
      <c r="B4" s="67"/>
      <c r="C4" s="68" t="s">
        <v>42</v>
      </c>
      <c r="D4" s="67"/>
      <c r="E4" s="69" t="s">
        <v>43</v>
      </c>
      <c r="F4" s="67"/>
      <c r="G4" s="69" t="s">
        <v>44</v>
      </c>
      <c r="H4" s="67"/>
    </row>
    <row r="5" spans="1:8" ht="15.75" x14ac:dyDescent="0.25">
      <c r="B5" s="70" t="s">
        <v>19</v>
      </c>
      <c r="C5" s="71">
        <f>'Invest und Kosten'!C57</f>
        <v>67265.057842105263</v>
      </c>
      <c r="D5" s="72">
        <f t="shared" ref="D5:D12" ca="1" si="0">RANK(C5,$C$5:$C$12,1)</f>
        <v>6</v>
      </c>
      <c r="E5" s="71">
        <f>'Invest und Kosten'!M57</f>
        <v>80117.087656795949</v>
      </c>
      <c r="F5" s="72">
        <f t="shared" ref="F5:F12" ca="1" si="1">RANK(E5,$E$5:$E$12,1)</f>
        <v>7</v>
      </c>
      <c r="G5" s="71">
        <f>'Invest und Kosten'!W57</f>
        <v>98767.130440752328</v>
      </c>
      <c r="H5" s="72">
        <f t="shared" ref="H5:H12" ca="1" si="2">RANK(G5,$G$5:$G$12,1)</f>
        <v>7</v>
      </c>
    </row>
    <row r="6" spans="1:8" ht="15.75" x14ac:dyDescent="0.25">
      <c r="B6" s="70" t="s">
        <v>192</v>
      </c>
      <c r="C6" s="73">
        <f>'Invest und Kosten'!D57</f>
        <v>53867.049189189187</v>
      </c>
      <c r="D6" s="72">
        <f t="shared" ca="1" si="0"/>
        <v>2</v>
      </c>
      <c r="E6" s="73">
        <f>'Invest und Kosten'!N57</f>
        <v>63631.965105673153</v>
      </c>
      <c r="F6" s="72">
        <f t="shared" ca="1" si="1"/>
        <v>3</v>
      </c>
      <c r="G6" s="73">
        <f>'Invest und Kosten'!X57</f>
        <v>77802.185860685102</v>
      </c>
      <c r="H6" s="72">
        <f t="shared" ca="1" si="2"/>
        <v>4</v>
      </c>
    </row>
    <row r="7" spans="1:8" ht="15.75" x14ac:dyDescent="0.25">
      <c r="B7" s="70" t="s">
        <v>1</v>
      </c>
      <c r="C7" s="74">
        <f>'Invest und Kosten'!E57</f>
        <v>63115.166666666664</v>
      </c>
      <c r="D7" s="72">
        <f t="shared" ca="1" si="0"/>
        <v>5</v>
      </c>
      <c r="E7" s="74">
        <f>'Invest und Kosten'!O57</f>
        <v>67785.89965558151</v>
      </c>
      <c r="F7" s="72">
        <f t="shared" ca="1" si="1"/>
        <v>5</v>
      </c>
      <c r="G7" s="74">
        <f>'Invest und Kosten'!Y57</f>
        <v>81419.297431979474</v>
      </c>
      <c r="H7" s="72">
        <f t="shared" ca="1" si="2"/>
        <v>5</v>
      </c>
    </row>
    <row r="8" spans="1:8" ht="15.75" x14ac:dyDescent="0.25">
      <c r="B8" s="70" t="s">
        <v>28</v>
      </c>
      <c r="C8" s="73">
        <f>'Invest und Kosten'!F57</f>
        <v>67641.236842105267</v>
      </c>
      <c r="D8" s="72">
        <f t="shared" ca="1" si="0"/>
        <v>7</v>
      </c>
      <c r="E8" s="73">
        <f>'Invest und Kosten'!P57</f>
        <v>79793.502406587126</v>
      </c>
      <c r="F8" s="72">
        <f t="shared" ca="1" si="1"/>
        <v>6</v>
      </c>
      <c r="G8" s="73">
        <f>'Invest und Kosten'!Z57</f>
        <v>97428.092114784202</v>
      </c>
      <c r="H8" s="72">
        <f t="shared" ca="1" si="2"/>
        <v>6</v>
      </c>
    </row>
    <row r="9" spans="1:8" ht="15.75" x14ac:dyDescent="0.25">
      <c r="B9" s="70" t="str">
        <f>'Invest und Kosten'!G4</f>
        <v>Sole-Wärmepumpe mit Eisspeicher und Twin-PV-Anlage</v>
      </c>
      <c r="C9" s="73">
        <f ca="1">'Invest und Kosten'!G57</f>
        <v>58258.222277585963</v>
      </c>
      <c r="D9" s="72">
        <f t="shared" ca="1" si="0"/>
        <v>4</v>
      </c>
      <c r="E9" s="73">
        <f ca="1">'Invest und Kosten'!Q57</f>
        <v>65017.811821856318</v>
      </c>
      <c r="F9" s="72">
        <f t="shared" ca="1" si="1"/>
        <v>4</v>
      </c>
      <c r="G9" s="73">
        <f ca="1">'Invest und Kosten'!AA57</f>
        <v>74826.895368995611</v>
      </c>
      <c r="H9" s="72">
        <f t="shared" ca="1" si="2"/>
        <v>3</v>
      </c>
    </row>
    <row r="10" spans="1:8" ht="15.75" x14ac:dyDescent="0.25">
      <c r="B10" s="70" t="str">
        <f>'Invest und Kosten'!H4</f>
        <v>Sole-Wärmepumpe mit Tiefenbohrung und PV-Anlage</v>
      </c>
      <c r="C10" s="75">
        <f ca="1">'Invest und Kosten'!H57</f>
        <v>54334.078277585962</v>
      </c>
      <c r="D10" s="72">
        <f t="shared" ca="1" si="0"/>
        <v>3</v>
      </c>
      <c r="E10" s="75">
        <f ca="1">'Invest und Kosten'!R57</f>
        <v>61093.667821856317</v>
      </c>
      <c r="F10" s="72">
        <f t="shared" ca="1" si="1"/>
        <v>2</v>
      </c>
      <c r="G10" s="75">
        <f ca="1">'Invest und Kosten'!AB57</f>
        <v>70902.75136899561</v>
      </c>
      <c r="H10" s="72">
        <f t="shared" ca="1" si="2"/>
        <v>2</v>
      </c>
    </row>
    <row r="11" spans="1:8" ht="15.75" x14ac:dyDescent="0.25">
      <c r="B11" s="70" t="s">
        <v>41</v>
      </c>
      <c r="C11" s="73">
        <f ca="1">'Invest und Kosten'!I57</f>
        <v>48912.531325582167</v>
      </c>
      <c r="D11" s="72">
        <f t="shared" ca="1" si="0"/>
        <v>1</v>
      </c>
      <c r="E11" s="73">
        <f ca="1">'Invest und Kosten'!S57</f>
        <v>56776.682725633451</v>
      </c>
      <c r="F11" s="72">
        <f t="shared" ca="1" si="1"/>
        <v>1</v>
      </c>
      <c r="G11" s="73">
        <f ca="1">'Invest und Kosten'!AC57</f>
        <v>68188.635715566372</v>
      </c>
      <c r="H11" s="72">
        <f t="shared" ca="1" si="2"/>
        <v>1</v>
      </c>
    </row>
    <row r="12" spans="1:8" ht="15.75" x14ac:dyDescent="0.25">
      <c r="B12" s="70" t="s">
        <v>166</v>
      </c>
      <c r="C12" s="73">
        <f>'Invest und Kosten'!J57</f>
        <v>94303.5</v>
      </c>
      <c r="D12" s="72">
        <f t="shared" ca="1" si="0"/>
        <v>8</v>
      </c>
      <c r="E12" s="73">
        <f>'Invest und Kosten'!T57</f>
        <v>111797.60625522076</v>
      </c>
      <c r="F12" s="72">
        <f t="shared" ca="1" si="1"/>
        <v>8</v>
      </c>
      <c r="G12" s="73">
        <f>'Invest und Kosten'!AD57</f>
        <v>137183.93314920316</v>
      </c>
      <c r="H12" s="72">
        <f t="shared" ca="1" si="2"/>
        <v>8</v>
      </c>
    </row>
  </sheetData>
  <conditionalFormatting sqref="C5:C1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D1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:E1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:F1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:G1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:H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425A-C339-4527-B5D5-37D72DA60E60}">
  <dimension ref="A1:AE57"/>
  <sheetViews>
    <sheetView workbookViewId="0">
      <selection activeCell="B21" sqref="B21"/>
    </sheetView>
  </sheetViews>
  <sheetFormatPr baseColWidth="10" defaultRowHeight="15" x14ac:dyDescent="0.25"/>
  <cols>
    <col min="1" max="1" width="34.7109375" customWidth="1"/>
    <col min="6" max="6" width="12.5703125" bestFit="1" customWidth="1"/>
  </cols>
  <sheetData>
    <row r="1" spans="1:14" x14ac:dyDescent="0.25">
      <c r="A1" s="1" t="s">
        <v>178</v>
      </c>
    </row>
    <row r="2" spans="1:14" x14ac:dyDescent="0.25">
      <c r="A2" t="s">
        <v>179</v>
      </c>
    </row>
    <row r="3" spans="1:14" x14ac:dyDescent="0.25">
      <c r="A3" s="1"/>
    </row>
    <row r="4" spans="1:14" x14ac:dyDescent="0.25">
      <c r="A4" t="s">
        <v>83</v>
      </c>
    </row>
    <row r="5" spans="1:14" x14ac:dyDescent="0.25">
      <c r="A5" t="s">
        <v>84</v>
      </c>
    </row>
    <row r="6" spans="1:14" x14ac:dyDescent="0.25">
      <c r="A6" t="s">
        <v>85</v>
      </c>
    </row>
    <row r="9" spans="1:14" x14ac:dyDescent="0.25">
      <c r="A9" t="s">
        <v>86</v>
      </c>
      <c r="C9" s="5">
        <f>Eingaben!C15</f>
        <v>2500</v>
      </c>
      <c r="D9" t="s">
        <v>2</v>
      </c>
    </row>
    <row r="10" spans="1:14" x14ac:dyDescent="0.25">
      <c r="A10" t="s">
        <v>87</v>
      </c>
      <c r="C10" s="46">
        <f>Eingaben!C14/Eingaben!C21</f>
        <v>583.78378378378375</v>
      </c>
      <c r="D10" t="s">
        <v>2</v>
      </c>
    </row>
    <row r="11" spans="1:14" x14ac:dyDescent="0.25">
      <c r="A11" t="s">
        <v>88</v>
      </c>
      <c r="C11" s="5">
        <f>Eingaben!C13/Eingaben!C21</f>
        <v>4281.0810810810808</v>
      </c>
      <c r="D11" t="s">
        <v>2</v>
      </c>
    </row>
    <row r="13" spans="1:14" x14ac:dyDescent="0.25">
      <c r="A13" t="s">
        <v>137</v>
      </c>
      <c r="C13" s="5">
        <f>SUM(C9:C12)</f>
        <v>7364.864864864865</v>
      </c>
    </row>
    <row r="14" spans="1:14" x14ac:dyDescent="0.25">
      <c r="A14" t="s">
        <v>147</v>
      </c>
      <c r="C14" s="5">
        <f ca="1">N21</f>
        <v>9500</v>
      </c>
    </row>
    <row r="16" spans="1:14" x14ac:dyDescent="0.25">
      <c r="A16" t="s">
        <v>89</v>
      </c>
      <c r="B16" s="42" t="s">
        <v>102</v>
      </c>
      <c r="C16" s="42" t="s">
        <v>103</v>
      </c>
      <c r="D16" s="42" t="s">
        <v>91</v>
      </c>
      <c r="E16" s="42" t="s">
        <v>92</v>
      </c>
      <c r="F16" s="42" t="s">
        <v>93</v>
      </c>
      <c r="G16" s="42" t="s">
        <v>94</v>
      </c>
      <c r="H16" s="42" t="s">
        <v>95</v>
      </c>
      <c r="I16" s="42" t="s">
        <v>96</v>
      </c>
      <c r="J16" s="42" t="s">
        <v>97</v>
      </c>
      <c r="K16" s="42" t="s">
        <v>98</v>
      </c>
      <c r="L16" s="42" t="s">
        <v>99</v>
      </c>
      <c r="M16" s="42" t="s">
        <v>100</v>
      </c>
      <c r="N16" s="42" t="s">
        <v>101</v>
      </c>
    </row>
    <row r="17" spans="1:31" x14ac:dyDescent="0.25">
      <c r="A17" s="41" t="s">
        <v>104</v>
      </c>
      <c r="B17" s="46">
        <f>$C$9/12</f>
        <v>208.33333333333334</v>
      </c>
      <c r="C17" s="46">
        <f t="shared" ref="C17:M17" si="0">$C$9/12</f>
        <v>208.33333333333334</v>
      </c>
      <c r="D17" s="46">
        <f t="shared" si="0"/>
        <v>208.33333333333334</v>
      </c>
      <c r="E17" s="46">
        <f t="shared" si="0"/>
        <v>208.33333333333334</v>
      </c>
      <c r="F17" s="46">
        <f t="shared" si="0"/>
        <v>208.33333333333334</v>
      </c>
      <c r="G17" s="46">
        <f t="shared" si="0"/>
        <v>208.33333333333334</v>
      </c>
      <c r="H17" s="46">
        <f t="shared" si="0"/>
        <v>208.33333333333334</v>
      </c>
      <c r="I17" s="46">
        <f t="shared" si="0"/>
        <v>208.33333333333334</v>
      </c>
      <c r="J17" s="46">
        <f t="shared" si="0"/>
        <v>208.33333333333334</v>
      </c>
      <c r="K17" s="46">
        <f t="shared" si="0"/>
        <v>208.33333333333334</v>
      </c>
      <c r="L17" s="46">
        <f t="shared" si="0"/>
        <v>208.33333333333334</v>
      </c>
      <c r="M17" s="46">
        <f t="shared" si="0"/>
        <v>208.33333333333334</v>
      </c>
      <c r="N17" s="46">
        <f>SUM(B17:M17)</f>
        <v>2500</v>
      </c>
    </row>
    <row r="18" spans="1:31" x14ac:dyDescent="0.25">
      <c r="A18" s="41" t="s">
        <v>105</v>
      </c>
      <c r="B18" s="46">
        <f>$C$10/12</f>
        <v>48.648648648648646</v>
      </c>
      <c r="C18" s="46">
        <f t="shared" ref="C18:M18" si="1">$C$10/12</f>
        <v>48.648648648648646</v>
      </c>
      <c r="D18" s="46">
        <f t="shared" si="1"/>
        <v>48.648648648648646</v>
      </c>
      <c r="E18" s="46">
        <f t="shared" si="1"/>
        <v>48.648648648648646</v>
      </c>
      <c r="F18" s="46">
        <f t="shared" si="1"/>
        <v>48.648648648648646</v>
      </c>
      <c r="G18" s="46">
        <f t="shared" si="1"/>
        <v>48.648648648648646</v>
      </c>
      <c r="H18" s="46">
        <f t="shared" si="1"/>
        <v>48.648648648648646</v>
      </c>
      <c r="I18" s="46">
        <f t="shared" si="1"/>
        <v>48.648648648648646</v>
      </c>
      <c r="J18" s="46">
        <f t="shared" si="1"/>
        <v>48.648648648648646</v>
      </c>
      <c r="K18" s="46">
        <f t="shared" si="1"/>
        <v>48.648648648648646</v>
      </c>
      <c r="L18" s="46">
        <f t="shared" si="1"/>
        <v>48.648648648648646</v>
      </c>
      <c r="M18" s="46">
        <f t="shared" si="1"/>
        <v>48.648648648648646</v>
      </c>
      <c r="N18" s="46">
        <f t="shared" ref="N18:N19" si="2">SUM(B18:M18)</f>
        <v>583.78378378378375</v>
      </c>
    </row>
    <row r="19" spans="1:31" x14ac:dyDescent="0.25">
      <c r="A19" s="41" t="s">
        <v>106</v>
      </c>
      <c r="B19" s="5">
        <f t="shared" ref="B19:M19" si="3">$C$11/$N$37*B37</f>
        <v>731.58860749943403</v>
      </c>
      <c r="C19" s="5">
        <f t="shared" si="3"/>
        <v>639.15423305286845</v>
      </c>
      <c r="D19" s="5">
        <f t="shared" si="3"/>
        <v>566.63266319984587</v>
      </c>
      <c r="E19" s="5">
        <f t="shared" si="3"/>
        <v>354.20502901650815</v>
      </c>
      <c r="F19" s="5">
        <f t="shared" si="3"/>
        <v>183.35006340800976</v>
      </c>
      <c r="G19" s="5">
        <f t="shared" si="3"/>
        <v>38.643867946898936</v>
      </c>
      <c r="H19" s="5">
        <f t="shared" si="3"/>
        <v>9.333672762991597</v>
      </c>
      <c r="I19" s="5">
        <f t="shared" si="3"/>
        <v>16.477010933647637</v>
      </c>
      <c r="J19" s="5">
        <f t="shared" si="3"/>
        <v>139.50005423844721</v>
      </c>
      <c r="K19" s="5">
        <f t="shared" si="3"/>
        <v>369.83799553270262</v>
      </c>
      <c r="L19" s="5">
        <f t="shared" si="3"/>
        <v>542.33681050730638</v>
      </c>
      <c r="M19" s="5">
        <f t="shared" si="3"/>
        <v>690.02107298242072</v>
      </c>
      <c r="N19" s="46">
        <f t="shared" si="2"/>
        <v>4281.0810810810817</v>
      </c>
    </row>
    <row r="21" spans="1:31" x14ac:dyDescent="0.25">
      <c r="A21" s="41" t="s">
        <v>118</v>
      </c>
      <c r="B21" s="46">
        <f ca="1">S23/$AE$23*Eingaben!$C$17*Eingaben!$F$19</f>
        <v>151.03707241899889</v>
      </c>
      <c r="C21" s="46">
        <f ca="1">T23/$AE$23*Eingaben!$C$17*Eingaben!$F$19</f>
        <v>398.79086665016376</v>
      </c>
      <c r="D21" s="46">
        <f ca="1">U23/$AE$23*Eingaben!$C$17*Eingaben!$F$19</f>
        <v>734.20799092568905</v>
      </c>
      <c r="E21" s="46">
        <f ca="1">V23/$AE$23*Eingaben!$C$17*Eingaben!$F$19</f>
        <v>1044.6730842314089</v>
      </c>
      <c r="F21" s="46">
        <f ca="1">W23/$AE$23*Eingaben!$C$17*Eingaben!$F$19</f>
        <v>1271.8911361599908</v>
      </c>
      <c r="G21" s="46">
        <f ca="1">X23/$AE$23*Eingaben!$C$17*Eingaben!$F$19</f>
        <v>1499.8820386053362</v>
      </c>
      <c r="H21" s="46">
        <f ca="1">Y23/$AE$23*Eingaben!$C$17*Eingaben!$F$19</f>
        <v>1398.28531781589</v>
      </c>
      <c r="I21" s="46">
        <f ca="1">Z23/$AE$23*Eingaben!$C$17*Eingaben!$F$19</f>
        <v>1189.5118955059615</v>
      </c>
      <c r="J21" s="46">
        <f ca="1">AA23/$AE$23*Eingaben!$C$17*Eingaben!$F$19</f>
        <v>928.19567877775694</v>
      </c>
      <c r="K21" s="46">
        <f ca="1">AB23/$AE$23*Eingaben!$C$17*Eingaben!$F$19</f>
        <v>485.25738246570739</v>
      </c>
      <c r="L21" s="46">
        <f ca="1">AC23/$AE$23*Eingaben!$C$17*Eingaben!$F$19</f>
        <v>267.7882877700182</v>
      </c>
      <c r="M21" s="46">
        <f ca="1">AD23/$AE$23*Eingaben!$C$17*Eingaben!$F$19</f>
        <v>130.47924867307992</v>
      </c>
      <c r="N21" s="46">
        <f ca="1">AE23/$AE$23*Eingaben!$C$17*Eingaben!$F$19</f>
        <v>9500</v>
      </c>
      <c r="S21" t="s">
        <v>102</v>
      </c>
      <c r="T21" t="s">
        <v>103</v>
      </c>
      <c r="U21" t="s">
        <v>124</v>
      </c>
      <c r="V21" t="s">
        <v>92</v>
      </c>
      <c r="W21" t="s">
        <v>93</v>
      </c>
      <c r="X21" t="s">
        <v>94</v>
      </c>
      <c r="Y21" t="s">
        <v>95</v>
      </c>
      <c r="Z21" t="s">
        <v>96</v>
      </c>
      <c r="AA21" t="s">
        <v>97</v>
      </c>
      <c r="AB21" t="s">
        <v>98</v>
      </c>
      <c r="AC21" t="s">
        <v>99</v>
      </c>
      <c r="AD21" t="s">
        <v>100</v>
      </c>
      <c r="AE21" t="s">
        <v>125</v>
      </c>
    </row>
    <row r="23" spans="1:31" x14ac:dyDescent="0.25">
      <c r="A23" s="47" t="s">
        <v>121</v>
      </c>
      <c r="B23" s="48">
        <f ca="1">IF(B17-B21 &gt; 0, B21/B17, 1)</f>
        <v>0.72497794761119461</v>
      </c>
      <c r="C23" s="48">
        <f t="shared" ref="C23:N23" ca="1" si="4">IF(C17-C21 &gt; 0, C21/C17, 1)</f>
        <v>1</v>
      </c>
      <c r="D23" s="48">
        <f t="shared" ca="1" si="4"/>
        <v>1</v>
      </c>
      <c r="E23" s="48">
        <f t="shared" ca="1" si="4"/>
        <v>1</v>
      </c>
      <c r="F23" s="48">
        <f t="shared" ca="1" si="4"/>
        <v>1</v>
      </c>
      <c r="G23" s="48">
        <f t="shared" ca="1" si="4"/>
        <v>1</v>
      </c>
      <c r="H23" s="48">
        <f t="shared" ca="1" si="4"/>
        <v>1</v>
      </c>
      <c r="I23" s="48">
        <f t="shared" ca="1" si="4"/>
        <v>1</v>
      </c>
      <c r="J23" s="48">
        <f t="shared" ca="1" si="4"/>
        <v>1</v>
      </c>
      <c r="K23" s="48">
        <f t="shared" ca="1" si="4"/>
        <v>1</v>
      </c>
      <c r="L23" s="48">
        <f t="shared" ca="1" si="4"/>
        <v>1</v>
      </c>
      <c r="M23" s="48">
        <f ca="1">IF(M17-M21 &gt; 0, M21/M17, 1)</f>
        <v>0.6263003936307836</v>
      </c>
      <c r="N23" s="48">
        <f t="shared" ca="1" si="4"/>
        <v>1</v>
      </c>
      <c r="R23" t="s">
        <v>126</v>
      </c>
      <c r="S23">
        <v>1368</v>
      </c>
      <c r="T23">
        <v>3612</v>
      </c>
      <c r="U23">
        <v>6650</v>
      </c>
      <c r="V23">
        <v>9462</v>
      </c>
      <c r="W23">
        <v>11520</v>
      </c>
      <c r="X23">
        <v>13585</v>
      </c>
      <c r="Y23">
        <v>12664.800000000003</v>
      </c>
      <c r="Z23">
        <v>10773.86</v>
      </c>
      <c r="AA23">
        <v>8407.0199999999968</v>
      </c>
      <c r="AB23">
        <v>4395.1600000000035</v>
      </c>
      <c r="AC23">
        <v>2425.4599999999991</v>
      </c>
      <c r="AD23">
        <v>1181.8000000000029</v>
      </c>
      <c r="AE23">
        <v>86045.099999999991</v>
      </c>
    </row>
    <row r="24" spans="1:31" x14ac:dyDescent="0.25">
      <c r="A24" s="47" t="s">
        <v>148</v>
      </c>
      <c r="B24" s="49">
        <f ca="1">IF(B21&lt;B17,B21,B17)</f>
        <v>151.03707241899889</v>
      </c>
      <c r="C24" s="49">
        <f t="shared" ref="C24:M24" ca="1" si="5">IF(C21&lt;C17,C21,C17)</f>
        <v>208.33333333333334</v>
      </c>
      <c r="D24" s="49">
        <f t="shared" ca="1" si="5"/>
        <v>208.33333333333334</v>
      </c>
      <c r="E24" s="49">
        <f t="shared" ca="1" si="5"/>
        <v>208.33333333333334</v>
      </c>
      <c r="F24" s="49">
        <f t="shared" ca="1" si="5"/>
        <v>208.33333333333334</v>
      </c>
      <c r="G24" s="49">
        <f t="shared" ca="1" si="5"/>
        <v>208.33333333333334</v>
      </c>
      <c r="H24" s="49">
        <f t="shared" ca="1" si="5"/>
        <v>208.33333333333334</v>
      </c>
      <c r="I24" s="49">
        <f t="shared" ca="1" si="5"/>
        <v>208.33333333333334</v>
      </c>
      <c r="J24" s="49">
        <f t="shared" ca="1" si="5"/>
        <v>208.33333333333334</v>
      </c>
      <c r="K24" s="49">
        <f t="shared" ca="1" si="5"/>
        <v>208.33333333333334</v>
      </c>
      <c r="L24" s="49">
        <f t="shared" ca="1" si="5"/>
        <v>208.33333333333334</v>
      </c>
      <c r="M24" s="49">
        <f t="shared" ca="1" si="5"/>
        <v>130.47924867307992</v>
      </c>
      <c r="N24" s="49">
        <f ca="1">SUM(B24:M24)</f>
        <v>2364.8496544254117</v>
      </c>
    </row>
    <row r="25" spans="1:31" x14ac:dyDescent="0.25">
      <c r="A25" s="50" t="s">
        <v>131</v>
      </c>
      <c r="B25" s="51">
        <f ca="1">B21-B17</f>
        <v>-57.296260914334454</v>
      </c>
      <c r="C25" s="51">
        <f t="shared" ref="C25:M25" ca="1" si="6">C21-C17</f>
        <v>190.45753331683042</v>
      </c>
      <c r="D25" s="51">
        <f t="shared" ca="1" si="6"/>
        <v>525.87465759235567</v>
      </c>
      <c r="E25" s="51">
        <f t="shared" ca="1" si="6"/>
        <v>836.33975089807552</v>
      </c>
      <c r="F25" s="51">
        <f t="shared" ca="1" si="6"/>
        <v>1063.5578028266575</v>
      </c>
      <c r="G25" s="51">
        <f t="shared" ca="1" si="6"/>
        <v>1291.548705272003</v>
      </c>
      <c r="H25" s="51">
        <f t="shared" ca="1" si="6"/>
        <v>1189.9519844825568</v>
      </c>
      <c r="I25" s="51">
        <f t="shared" ca="1" si="6"/>
        <v>981.17856217262818</v>
      </c>
      <c r="J25" s="51">
        <f t="shared" ca="1" si="6"/>
        <v>719.86234544442357</v>
      </c>
      <c r="K25" s="51">
        <f t="shared" ca="1" si="6"/>
        <v>276.92404913237408</v>
      </c>
      <c r="L25" s="51">
        <f t="shared" ca="1" si="6"/>
        <v>59.454954436684858</v>
      </c>
      <c r="M25" s="51">
        <f t="shared" ca="1" si="6"/>
        <v>-77.85408466025342</v>
      </c>
      <c r="N25" s="51">
        <f ca="1">N21-N17</f>
        <v>7000</v>
      </c>
    </row>
    <row r="26" spans="1:31" x14ac:dyDescent="0.25">
      <c r="A26" s="50" t="s">
        <v>122</v>
      </c>
      <c r="B26" s="52">
        <f t="shared" ref="B26:N26" ca="1" si="7">IF((B21-B17)&lt;0,0, IF((B21-B17)&gt;B18,1,(B21-B17)/B18))</f>
        <v>0</v>
      </c>
      <c r="C26" s="52">
        <f t="shared" ca="1" si="7"/>
        <v>1</v>
      </c>
      <c r="D26" s="52">
        <f t="shared" ca="1" si="7"/>
        <v>1</v>
      </c>
      <c r="E26" s="52">
        <f t="shared" ca="1" si="7"/>
        <v>1</v>
      </c>
      <c r="F26" s="52">
        <f t="shared" ca="1" si="7"/>
        <v>1</v>
      </c>
      <c r="G26" s="52">
        <f t="shared" ca="1" si="7"/>
        <v>1</v>
      </c>
      <c r="H26" s="52">
        <f t="shared" ca="1" si="7"/>
        <v>1</v>
      </c>
      <c r="I26" s="52">
        <f t="shared" ca="1" si="7"/>
        <v>1</v>
      </c>
      <c r="J26" s="52">
        <f t="shared" ca="1" si="7"/>
        <v>1</v>
      </c>
      <c r="K26" s="52">
        <f t="shared" ca="1" si="7"/>
        <v>1</v>
      </c>
      <c r="L26" s="52">
        <f t="shared" ca="1" si="7"/>
        <v>1</v>
      </c>
      <c r="M26" s="52">
        <f t="shared" ca="1" si="7"/>
        <v>0</v>
      </c>
      <c r="N26" s="52">
        <f t="shared" ca="1" si="7"/>
        <v>1</v>
      </c>
    </row>
    <row r="27" spans="1:31" x14ac:dyDescent="0.25">
      <c r="A27" s="50" t="s">
        <v>149</v>
      </c>
      <c r="B27" s="52">
        <f ca="1">IF(B21-B17&lt;0,0,IF(B21-B18-B17&lt;0,B21-B17,B18))</f>
        <v>0</v>
      </c>
      <c r="C27" s="51">
        <f t="shared" ref="C27:M27" ca="1" si="8">IF(C21-C17&lt;0,0,IF(C21-C18-C17&lt;0,C21-C17,C18))</f>
        <v>48.648648648648646</v>
      </c>
      <c r="D27" s="51">
        <f t="shared" ca="1" si="8"/>
        <v>48.648648648648646</v>
      </c>
      <c r="E27" s="51">
        <f t="shared" ca="1" si="8"/>
        <v>48.648648648648646</v>
      </c>
      <c r="F27" s="51">
        <f t="shared" ca="1" si="8"/>
        <v>48.648648648648646</v>
      </c>
      <c r="G27" s="51">
        <f t="shared" ca="1" si="8"/>
        <v>48.648648648648646</v>
      </c>
      <c r="H27" s="51">
        <f t="shared" ca="1" si="8"/>
        <v>48.648648648648646</v>
      </c>
      <c r="I27" s="51">
        <f t="shared" ca="1" si="8"/>
        <v>48.648648648648646</v>
      </c>
      <c r="J27" s="51">
        <f t="shared" ca="1" si="8"/>
        <v>48.648648648648646</v>
      </c>
      <c r="K27" s="51">
        <f t="shared" ca="1" si="8"/>
        <v>48.648648648648646</v>
      </c>
      <c r="L27" s="51">
        <f t="shared" ca="1" si="8"/>
        <v>48.648648648648646</v>
      </c>
      <c r="M27" s="51">
        <f t="shared" ca="1" si="8"/>
        <v>0</v>
      </c>
      <c r="N27" s="51">
        <f ca="1">SUM(B27:M27)</f>
        <v>486.48648648648646</v>
      </c>
    </row>
    <row r="28" spans="1:31" x14ac:dyDescent="0.25">
      <c r="A28" s="53" t="s">
        <v>132</v>
      </c>
      <c r="B28" s="54">
        <f ca="1">IF((B21-B17-B18)&lt;0,0,B21-B17-B18)</f>
        <v>0</v>
      </c>
      <c r="C28" s="54">
        <f t="shared" ref="C28:M28" ca="1" si="9">IF((C21-C17-C18)&lt;0,0,C21-C17-C18)</f>
        <v>141.80888466818178</v>
      </c>
      <c r="D28" s="54">
        <f t="shared" ca="1" si="9"/>
        <v>477.22600894370703</v>
      </c>
      <c r="E28" s="54">
        <f t="shared" ca="1" si="9"/>
        <v>787.69110224942688</v>
      </c>
      <c r="F28" s="54">
        <f t="shared" ca="1" si="9"/>
        <v>1014.9091541780089</v>
      </c>
      <c r="G28" s="54">
        <f t="shared" ca="1" si="9"/>
        <v>1242.9000566233544</v>
      </c>
      <c r="H28" s="54">
        <f t="shared" ca="1" si="9"/>
        <v>1141.303335833908</v>
      </c>
      <c r="I28" s="54">
        <f t="shared" ca="1" si="9"/>
        <v>932.52991352397953</v>
      </c>
      <c r="J28" s="54">
        <f t="shared" ca="1" si="9"/>
        <v>671.21369679577492</v>
      </c>
      <c r="K28" s="54">
        <f t="shared" ca="1" si="9"/>
        <v>228.27540048372543</v>
      </c>
      <c r="L28" s="54">
        <f t="shared" ca="1" si="9"/>
        <v>10.806305788036212</v>
      </c>
      <c r="M28" s="54">
        <f t="shared" ca="1" si="9"/>
        <v>0</v>
      </c>
      <c r="N28" s="54">
        <f ca="1">N21-N17-N18</f>
        <v>6416.2162162162167</v>
      </c>
    </row>
    <row r="29" spans="1:31" x14ac:dyDescent="0.25">
      <c r="A29" s="53" t="s">
        <v>130</v>
      </c>
      <c r="B29" s="55">
        <f t="shared" ref="B29:N29" ca="1" si="10">IF((B21-B17-B18)&lt;0,0, IF((B21-B17-B18)&gt;B19,1,(B21-B17-B18)/B19))</f>
        <v>0</v>
      </c>
      <c r="C29" s="55">
        <f t="shared" ca="1" si="10"/>
        <v>0.22186958535945717</v>
      </c>
      <c r="D29" s="55">
        <f t="shared" ca="1" si="10"/>
        <v>0.84221408319236624</v>
      </c>
      <c r="E29" s="55">
        <f t="shared" ca="1" si="10"/>
        <v>1</v>
      </c>
      <c r="F29" s="55">
        <f t="shared" ca="1" si="10"/>
        <v>1</v>
      </c>
      <c r="G29" s="55">
        <f t="shared" ca="1" si="10"/>
        <v>1</v>
      </c>
      <c r="H29" s="55">
        <f t="shared" ca="1" si="10"/>
        <v>1</v>
      </c>
      <c r="I29" s="55">
        <f t="shared" ca="1" si="10"/>
        <v>1</v>
      </c>
      <c r="J29" s="55">
        <f t="shared" ca="1" si="10"/>
        <v>1</v>
      </c>
      <c r="K29" s="55">
        <f t="shared" ca="1" si="10"/>
        <v>0.61723079629751121</v>
      </c>
      <c r="L29" s="55">
        <f t="shared" ca="1" si="10"/>
        <v>1.9925451451336861E-2</v>
      </c>
      <c r="M29" s="55">
        <f t="shared" ca="1" si="10"/>
        <v>0</v>
      </c>
      <c r="N29" s="55">
        <f t="shared" ca="1" si="10"/>
        <v>1</v>
      </c>
    </row>
    <row r="30" spans="1:31" x14ac:dyDescent="0.25">
      <c r="A30" s="53" t="s">
        <v>150</v>
      </c>
      <c r="B30" s="56">
        <f ca="1">IF((B21-B17-B18)&lt;0,0,IF((B21-B17-B18-B19)&lt;0,B21-B17-B18,B19))</f>
        <v>0</v>
      </c>
      <c r="C30" s="54">
        <f t="shared" ref="C30:M30" ca="1" si="11">IF((C21-C17-C18)&lt;0,0,IF((C21-C17-C18-C19)&lt;0,C21-C17-C18,C19))</f>
        <v>141.80888466818178</v>
      </c>
      <c r="D30" s="54">
        <f t="shared" ca="1" si="11"/>
        <v>477.22600894370703</v>
      </c>
      <c r="E30" s="54">
        <f t="shared" ca="1" si="11"/>
        <v>354.20502901650815</v>
      </c>
      <c r="F30" s="54">
        <f t="shared" ca="1" si="11"/>
        <v>183.35006340800976</v>
      </c>
      <c r="G30" s="54">
        <f t="shared" ca="1" si="11"/>
        <v>38.643867946898936</v>
      </c>
      <c r="H30" s="54">
        <f t="shared" ca="1" si="11"/>
        <v>9.333672762991597</v>
      </c>
      <c r="I30" s="54">
        <f t="shared" ca="1" si="11"/>
        <v>16.477010933647637</v>
      </c>
      <c r="J30" s="54">
        <f t="shared" ca="1" si="11"/>
        <v>139.50005423844721</v>
      </c>
      <c r="K30" s="54">
        <f t="shared" ca="1" si="11"/>
        <v>228.27540048372543</v>
      </c>
      <c r="L30" s="54">
        <f t="shared" ca="1" si="11"/>
        <v>10.806305788036212</v>
      </c>
      <c r="M30" s="54">
        <f t="shared" ca="1" si="11"/>
        <v>0</v>
      </c>
      <c r="N30" s="54">
        <f ca="1">SUM(B30:M30)</f>
        <v>1599.6262981901539</v>
      </c>
      <c r="R30" t="s">
        <v>107</v>
      </c>
    </row>
    <row r="31" spans="1:31" x14ac:dyDescent="0.25">
      <c r="A31" s="41" t="s">
        <v>133</v>
      </c>
      <c r="B31" s="46">
        <f ca="1">IF((B21-B17)&lt;0,0,IF((B21-B17-B18)&lt;0,B21-B17,B18))</f>
        <v>0</v>
      </c>
      <c r="C31" s="46">
        <f ca="1">IF((C21-C17)&lt;0,0,IF((C21-C17-C18)&lt;0,C21-C17,C18))</f>
        <v>48.648648648648646</v>
      </c>
      <c r="D31" s="46">
        <f t="shared" ref="D31:M31" ca="1" si="12">IF((D21-D17)&lt;0,0,IF((D21-D17-D18)&lt;0,D21-D17,D18))</f>
        <v>48.648648648648646</v>
      </c>
      <c r="E31" s="46">
        <f t="shared" ca="1" si="12"/>
        <v>48.648648648648646</v>
      </c>
      <c r="F31" s="46">
        <f t="shared" ca="1" si="12"/>
        <v>48.648648648648646</v>
      </c>
      <c r="G31" s="46">
        <f t="shared" ca="1" si="12"/>
        <v>48.648648648648646</v>
      </c>
      <c r="H31" s="46">
        <f t="shared" ca="1" si="12"/>
        <v>48.648648648648646</v>
      </c>
      <c r="I31" s="46">
        <f t="shared" ca="1" si="12"/>
        <v>48.648648648648646</v>
      </c>
      <c r="J31" s="46">
        <f t="shared" ca="1" si="12"/>
        <v>48.648648648648646</v>
      </c>
      <c r="K31" s="46">
        <f t="shared" ca="1" si="12"/>
        <v>48.648648648648646</v>
      </c>
      <c r="L31" s="46">
        <f t="shared" ca="1" si="12"/>
        <v>48.648648648648646</v>
      </c>
      <c r="M31" s="46">
        <f t="shared" ca="1" si="12"/>
        <v>0</v>
      </c>
      <c r="N31" s="46">
        <f t="shared" ref="N31:N32" ca="1" si="13">SUM(B31:M31)</f>
        <v>486.48648648648646</v>
      </c>
      <c r="R31" t="s">
        <v>114</v>
      </c>
      <c r="V31" t="s">
        <v>108</v>
      </c>
      <c r="X31" t="s">
        <v>109</v>
      </c>
    </row>
    <row r="32" spans="1:31" x14ac:dyDescent="0.25">
      <c r="A32" s="41" t="s">
        <v>134</v>
      </c>
      <c r="B32">
        <f ca="1">IF((B21-B17-B18)&lt;0,0,IF((B21-B17-B18-B19)&lt;0,B21-B17-B18,B19))</f>
        <v>0</v>
      </c>
      <c r="C32" s="46">
        <f t="shared" ref="C32:M32" ca="1" si="14">IF((C21-C17-C18)&lt;0,0,IF((C21-C17-C18-C19)&lt;0,C21-C17-C18,C19))</f>
        <v>141.80888466818178</v>
      </c>
      <c r="D32" s="46">
        <f t="shared" ca="1" si="14"/>
        <v>477.22600894370703</v>
      </c>
      <c r="E32" s="46">
        <f t="shared" ca="1" si="14"/>
        <v>354.20502901650815</v>
      </c>
      <c r="F32" s="46">
        <f t="shared" ca="1" si="14"/>
        <v>183.35006340800976</v>
      </c>
      <c r="G32" s="46">
        <f t="shared" ca="1" si="14"/>
        <v>38.643867946898936</v>
      </c>
      <c r="H32" s="46">
        <f t="shared" ca="1" si="14"/>
        <v>9.333672762991597</v>
      </c>
      <c r="I32" s="46">
        <f t="shared" ca="1" si="14"/>
        <v>16.477010933647637</v>
      </c>
      <c r="J32" s="46">
        <f t="shared" ca="1" si="14"/>
        <v>139.50005423844721</v>
      </c>
      <c r="K32" s="46">
        <f t="shared" ca="1" si="14"/>
        <v>228.27540048372543</v>
      </c>
      <c r="L32" s="46">
        <f t="shared" ca="1" si="14"/>
        <v>10.806305788036212</v>
      </c>
      <c r="M32" s="46">
        <f t="shared" ca="1" si="14"/>
        <v>0</v>
      </c>
      <c r="N32" s="46">
        <f t="shared" ca="1" si="13"/>
        <v>1599.6262981901539</v>
      </c>
      <c r="R32" t="s">
        <v>115</v>
      </c>
      <c r="T32" t="s">
        <v>116</v>
      </c>
      <c r="V32" t="s">
        <v>110</v>
      </c>
      <c r="X32" t="s">
        <v>117</v>
      </c>
    </row>
    <row r="33" spans="1:24" x14ac:dyDescent="0.25">
      <c r="R33" t="s">
        <v>111</v>
      </c>
      <c r="T33" t="s">
        <v>112</v>
      </c>
      <c r="V33" t="s">
        <v>113</v>
      </c>
      <c r="X33" t="s">
        <v>113</v>
      </c>
    </row>
    <row r="34" spans="1:24" x14ac:dyDescent="0.25">
      <c r="A34" s="41" t="s">
        <v>140</v>
      </c>
      <c r="B34">
        <f ca="1">IF((B21-B17-B18-B19)&lt;0,0,(B21-B17-B18-B19)*0.9)</f>
        <v>0</v>
      </c>
      <c r="C34" s="46">
        <f t="shared" ref="C34:M34" ca="1" si="15">IF((C21-C17-C18-C19)&lt;0,0,(C21-C17-C18-C19)*0.9)</f>
        <v>0</v>
      </c>
      <c r="D34" s="46">
        <f t="shared" ca="1" si="15"/>
        <v>0</v>
      </c>
      <c r="E34" s="46">
        <f t="shared" ca="1" si="15"/>
        <v>390.13746590962688</v>
      </c>
      <c r="F34" s="46">
        <f t="shared" ca="1" si="15"/>
        <v>748.40318169299917</v>
      </c>
      <c r="G34" s="46">
        <f t="shared" ca="1" si="15"/>
        <v>1083.83056980881</v>
      </c>
      <c r="H34" s="46">
        <f t="shared" ca="1" si="15"/>
        <v>1018.7726967638247</v>
      </c>
      <c r="I34" s="46">
        <f t="shared" ca="1" si="15"/>
        <v>824.44761233129873</v>
      </c>
      <c r="J34" s="46">
        <f t="shared" ca="1" si="15"/>
        <v>478.54227830159493</v>
      </c>
      <c r="K34" s="46">
        <f t="shared" ca="1" si="15"/>
        <v>0</v>
      </c>
      <c r="L34" s="46">
        <f t="shared" ca="1" si="15"/>
        <v>0</v>
      </c>
      <c r="M34" s="46">
        <f t="shared" ca="1" si="15"/>
        <v>0</v>
      </c>
      <c r="N34" s="46">
        <f ca="1">SUM(B34:M34)</f>
        <v>4544.1338048081543</v>
      </c>
    </row>
    <row r="36" spans="1:24" x14ac:dyDescent="0.25">
      <c r="R36">
        <v>545.6</v>
      </c>
      <c r="T36">
        <v>31</v>
      </c>
      <c r="V36">
        <v>2.4000000000000004</v>
      </c>
      <c r="X36">
        <v>2.4000000000000004</v>
      </c>
    </row>
    <row r="37" spans="1:24" x14ac:dyDescent="0.25">
      <c r="A37" t="s">
        <v>142</v>
      </c>
      <c r="B37" s="46">
        <v>545.6</v>
      </c>
      <c r="C37" s="46">
        <v>476.66481678217605</v>
      </c>
      <c r="D37" s="46">
        <v>422.58009197071192</v>
      </c>
      <c r="E37" s="46">
        <v>264.15701645758111</v>
      </c>
      <c r="F37" s="46">
        <v>136.73776979296048</v>
      </c>
      <c r="G37" s="46">
        <v>28.819604536890456</v>
      </c>
      <c r="H37" s="46">
        <v>6.9608135054128146</v>
      </c>
      <c r="I37" s="46">
        <v>12.28813170850956</v>
      </c>
      <c r="J37" s="46">
        <v>104.03555879942496</v>
      </c>
      <c r="K37" s="46">
        <v>275.81568151032019</v>
      </c>
      <c r="L37" s="46">
        <v>404.4608688264945</v>
      </c>
      <c r="M37" s="46">
        <v>514.6</v>
      </c>
      <c r="N37" s="46">
        <f>SUM(B37:M37)</f>
        <v>3192.7203538904814</v>
      </c>
      <c r="R37">
        <v>476.66481678217605</v>
      </c>
      <c r="T37">
        <v>28.188136228899285</v>
      </c>
      <c r="V37">
        <v>3.1058864724950634</v>
      </c>
      <c r="X37">
        <v>3.0898782058004399</v>
      </c>
    </row>
    <row r="38" spans="1:24" x14ac:dyDescent="0.25">
      <c r="R38">
        <v>422.58009197071192</v>
      </c>
      <c r="T38">
        <v>31</v>
      </c>
      <c r="V38">
        <v>6.3683841299770352</v>
      </c>
      <c r="X38">
        <v>6.3683841299770352</v>
      </c>
    </row>
    <row r="39" spans="1:24" x14ac:dyDescent="0.25">
      <c r="A39" t="s">
        <v>151</v>
      </c>
      <c r="B39" s="43">
        <f ca="1">N24/C9</f>
        <v>0.94593986177016465</v>
      </c>
      <c r="R39">
        <v>264.15701645758111</v>
      </c>
      <c r="T39">
        <v>26.113289037775832</v>
      </c>
      <c r="V39">
        <v>10.899339582309647</v>
      </c>
      <c r="X39">
        <v>9.8841920649885182</v>
      </c>
    </row>
    <row r="40" spans="1:24" x14ac:dyDescent="0.25">
      <c r="A40" t="s">
        <v>135</v>
      </c>
      <c r="B40" s="43">
        <f ca="1">N31/N18</f>
        <v>0.83333333333333337</v>
      </c>
      <c r="R40">
        <v>136.73776979296048</v>
      </c>
      <c r="T40">
        <v>17.192719951946486</v>
      </c>
      <c r="V40">
        <v>14.740290162032281</v>
      </c>
      <c r="X40">
        <v>12.046763387344095</v>
      </c>
    </row>
    <row r="41" spans="1:24" x14ac:dyDescent="0.25">
      <c r="A41" t="s">
        <v>136</v>
      </c>
      <c r="B41" s="43">
        <f ca="1">N32/N19</f>
        <v>0.37365008227926566</v>
      </c>
    </row>
    <row r="42" spans="1:24" x14ac:dyDescent="0.25">
      <c r="A42" t="s">
        <v>152</v>
      </c>
      <c r="B42" s="43">
        <f ca="1">(N30+N24+N27)/C13</f>
        <v>0.60435086329092091</v>
      </c>
      <c r="C42" t="s">
        <v>153</v>
      </c>
      <c r="E42" s="43">
        <f ca="1">B42/2</f>
        <v>0.30217543164546046</v>
      </c>
    </row>
    <row r="43" spans="1:24" x14ac:dyDescent="0.25">
      <c r="B43" s="43"/>
      <c r="E43" s="43"/>
    </row>
    <row r="44" spans="1:24" x14ac:dyDescent="0.25">
      <c r="A44" t="s">
        <v>154</v>
      </c>
      <c r="B44" s="43"/>
      <c r="E44" s="43"/>
    </row>
    <row r="45" spans="1:24" x14ac:dyDescent="0.25">
      <c r="A45" s="41" t="s">
        <v>155</v>
      </c>
      <c r="B45" s="43">
        <f ca="1">B39/2*$J$52</f>
        <v>0.5912124136063529</v>
      </c>
      <c r="E45" s="43"/>
    </row>
    <row r="46" spans="1:24" x14ac:dyDescent="0.25">
      <c r="A46" s="50" t="s">
        <v>129</v>
      </c>
      <c r="B46" s="58">
        <f ca="1">B40/2*$J$52</f>
        <v>0.52083333333333337</v>
      </c>
      <c r="D46" t="s">
        <v>156</v>
      </c>
      <c r="E46" s="43"/>
    </row>
    <row r="47" spans="1:24" x14ac:dyDescent="0.25">
      <c r="A47" s="50" t="s">
        <v>90</v>
      </c>
      <c r="B47" s="58">
        <f ca="1">B41/2*$J$52</f>
        <v>0.23353130142454104</v>
      </c>
      <c r="D47" t="s">
        <v>156</v>
      </c>
      <c r="R47">
        <v>28.819604536890456</v>
      </c>
      <c r="T47">
        <v>4.5183272072766281</v>
      </c>
      <c r="V47">
        <v>18.740290162032281</v>
      </c>
      <c r="X47">
        <v>13.621620742632945</v>
      </c>
    </row>
    <row r="48" spans="1:24" x14ac:dyDescent="0.25">
      <c r="A48" s="41" t="s">
        <v>101</v>
      </c>
      <c r="B48" s="43">
        <f ca="1">B42/2*$J$52</f>
        <v>0.37771928955682554</v>
      </c>
      <c r="R48">
        <v>6.9608135054128146</v>
      </c>
      <c r="T48">
        <v>1.2264690044014397</v>
      </c>
      <c r="V48">
        <v>20.383615001611851</v>
      </c>
      <c r="X48">
        <v>14.324509237141351</v>
      </c>
    </row>
    <row r="49" spans="1:24" x14ac:dyDescent="0.25">
      <c r="B49" s="43"/>
      <c r="E49" t="s">
        <v>197</v>
      </c>
      <c r="R49">
        <v>12.28813170850956</v>
      </c>
      <c r="T49">
        <v>2.0404009932688001</v>
      </c>
      <c r="V49">
        <v>19.547764418492502</v>
      </c>
      <c r="X49">
        <v>13.977589822271403</v>
      </c>
    </row>
    <row r="50" spans="1:24" x14ac:dyDescent="0.25">
      <c r="A50" t="s">
        <v>141</v>
      </c>
      <c r="B50" s="44">
        <f ca="1">(C14-N34)/C14</f>
        <v>0.52167012580966798</v>
      </c>
      <c r="R50">
        <v>104.03555879942496</v>
      </c>
      <c r="T50">
        <v>14.103783770203613</v>
      </c>
      <c r="V50">
        <v>15.414957289261357</v>
      </c>
      <c r="X50">
        <v>12.623571057632358</v>
      </c>
    </row>
    <row r="51" spans="1:24" x14ac:dyDescent="0.25">
      <c r="E51" s="21" t="s">
        <v>143</v>
      </c>
      <c r="F51" s="33">
        <f>C13/1000</f>
        <v>7.3648648648648649</v>
      </c>
      <c r="H51" t="s">
        <v>145</v>
      </c>
      <c r="J51" s="43">
        <f ca="1">(F51+F52)/2</f>
        <v>8.4324324324324316</v>
      </c>
      <c r="R51">
        <v>275.81568151032019</v>
      </c>
      <c r="T51">
        <v>27.772371465791679</v>
      </c>
      <c r="V51">
        <v>10.8</v>
      </c>
      <c r="X51">
        <v>10.068702564703443</v>
      </c>
    </row>
    <row r="52" spans="1:24" x14ac:dyDescent="0.25">
      <c r="A52" t="s">
        <v>138</v>
      </c>
      <c r="B52" s="45">
        <f>C13/365</f>
        <v>20.177711958533877</v>
      </c>
      <c r="E52" s="21" t="s">
        <v>144</v>
      </c>
      <c r="F52" s="33">
        <f ca="1">C14/1000</f>
        <v>9.5</v>
      </c>
      <c r="H52" s="57" t="s">
        <v>146</v>
      </c>
      <c r="I52" s="57"/>
      <c r="J52" s="57">
        <f ca="1">IF((Eingaben!C18&gt;Simulation!J51*1.1),2,IF((Eingaben!C18&gt;Simulation!J51*0.9),1.8,IF((Eingaben!C18&gt;Simulation!J51*0.7),1.5,IF((Eingaben!C18&gt;Simulation!J51*0.5),1.25,IF((Eingaben!C18&gt;0),1.1,1)))))</f>
        <v>1.25</v>
      </c>
      <c r="R52">
        <v>404.4608688264945</v>
      </c>
      <c r="T52">
        <v>29.690420231995525</v>
      </c>
      <c r="V52">
        <v>6.4773949420011192</v>
      </c>
      <c r="X52">
        <v>6.3773949420011196</v>
      </c>
    </row>
    <row r="53" spans="1:24" x14ac:dyDescent="0.25">
      <c r="A53" t="s">
        <v>139</v>
      </c>
      <c r="B53" s="44">
        <f>Eingaben!C18/(B52/2)</f>
        <v>0.49559633027522937</v>
      </c>
      <c r="R53">
        <v>514.6</v>
      </c>
      <c r="T53">
        <v>30.999999999999996</v>
      </c>
      <c r="V53">
        <v>3.4</v>
      </c>
      <c r="X53">
        <v>3.4000000000000004</v>
      </c>
    </row>
    <row r="55" spans="1:24" x14ac:dyDescent="0.25">
      <c r="G55" t="s">
        <v>198</v>
      </c>
      <c r="H55" s="5">
        <f>Eingaben!C18</f>
        <v>5</v>
      </c>
      <c r="I55">
        <f>H55*1.1</f>
        <v>5.5</v>
      </c>
      <c r="J55">
        <f>H55*1.3</f>
        <v>6.5</v>
      </c>
    </row>
    <row r="56" spans="1:24" x14ac:dyDescent="0.25">
      <c r="I56">
        <f>H55*0.9</f>
        <v>4.5</v>
      </c>
      <c r="J56">
        <f>H55*0.7</f>
        <v>3.5</v>
      </c>
    </row>
    <row r="57" spans="1:24" x14ac:dyDescent="0.25">
      <c r="I57">
        <v>2</v>
      </c>
      <c r="J57">
        <v>1.5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219FC-8274-4C24-BFC5-0F6393DFB047}">
  <dimension ref="A1:S63"/>
  <sheetViews>
    <sheetView workbookViewId="0">
      <selection activeCell="D14" sqref="D14"/>
    </sheetView>
  </sheetViews>
  <sheetFormatPr baseColWidth="10" defaultRowHeight="15" x14ac:dyDescent="0.25"/>
  <cols>
    <col min="1" max="1" width="2" style="36" customWidth="1"/>
    <col min="2" max="2" width="2.28515625" style="36" customWidth="1"/>
    <col min="3" max="3" width="11.42578125" style="36"/>
    <col min="4" max="4" width="28.140625" style="36" customWidth="1"/>
    <col min="5" max="5" width="24.140625" style="36" customWidth="1"/>
    <col min="6" max="6" width="20" style="36" customWidth="1"/>
    <col min="7" max="17" width="11.42578125" style="36"/>
    <col min="18" max="18" width="18.42578125" style="36" customWidth="1"/>
    <col min="19" max="16384" width="11.42578125" style="36"/>
  </cols>
  <sheetData>
    <row r="1" spans="1:19" x14ac:dyDescent="0.25">
      <c r="A1" s="39" t="s">
        <v>199</v>
      </c>
    </row>
    <row r="2" spans="1:19" x14ac:dyDescent="0.25">
      <c r="A2" s="39"/>
    </row>
    <row r="3" spans="1:19" s="77" customFormat="1" ht="75" x14ac:dyDescent="0.25">
      <c r="D3" s="77" t="s">
        <v>203</v>
      </c>
      <c r="E3" s="77" t="s">
        <v>204</v>
      </c>
      <c r="F3" s="77" t="s">
        <v>210</v>
      </c>
      <c r="G3" s="77" t="s">
        <v>209</v>
      </c>
      <c r="H3" s="77" t="s">
        <v>217</v>
      </c>
      <c r="I3" s="77" t="s">
        <v>214</v>
      </c>
      <c r="J3" s="77" t="s">
        <v>215</v>
      </c>
      <c r="K3" s="77" t="s">
        <v>223</v>
      </c>
      <c r="L3" s="77" t="s">
        <v>224</v>
      </c>
      <c r="M3" s="77" t="s">
        <v>213</v>
      </c>
      <c r="N3" s="77" t="s">
        <v>220</v>
      </c>
      <c r="O3" s="77" t="s">
        <v>218</v>
      </c>
      <c r="P3" s="77" t="s">
        <v>225</v>
      </c>
      <c r="Q3" s="77" t="s">
        <v>211</v>
      </c>
      <c r="R3" s="77" t="s">
        <v>212</v>
      </c>
    </row>
    <row r="4" spans="1:19" x14ac:dyDescent="0.25">
      <c r="A4" s="36" t="s">
        <v>200</v>
      </c>
      <c r="B4" s="37"/>
      <c r="C4" s="37"/>
      <c r="D4" s="38"/>
      <c r="E4" s="37"/>
    </row>
    <row r="5" spans="1:19" x14ac:dyDescent="0.25">
      <c r="B5" s="36" t="s">
        <v>202</v>
      </c>
      <c r="D5" s="78" t="s">
        <v>219</v>
      </c>
      <c r="F5" s="80">
        <v>4</v>
      </c>
      <c r="G5" s="81">
        <v>180</v>
      </c>
      <c r="H5" s="81">
        <v>0</v>
      </c>
      <c r="I5" s="81">
        <v>180</v>
      </c>
      <c r="J5" s="81">
        <v>130</v>
      </c>
      <c r="K5" s="86">
        <f>I5*2.5/100</f>
        <v>4.5</v>
      </c>
      <c r="L5" s="86">
        <f t="shared" ref="L5:L7" si="0">J5*2.5/100</f>
        <v>3.25</v>
      </c>
      <c r="M5" s="81">
        <v>75</v>
      </c>
      <c r="N5" s="81">
        <v>9</v>
      </c>
      <c r="O5" s="40" t="s">
        <v>222</v>
      </c>
      <c r="P5" s="81">
        <v>40</v>
      </c>
      <c r="Q5" s="79">
        <v>9292.7999999999993</v>
      </c>
      <c r="R5" t="s">
        <v>221</v>
      </c>
    </row>
    <row r="6" spans="1:19" x14ac:dyDescent="0.25">
      <c r="D6" s="38"/>
      <c r="F6" s="81">
        <v>5</v>
      </c>
      <c r="G6" s="81">
        <v>180</v>
      </c>
      <c r="H6" s="81">
        <v>0</v>
      </c>
      <c r="I6" s="81">
        <v>180</v>
      </c>
      <c r="J6" s="81">
        <v>137</v>
      </c>
      <c r="K6" s="82">
        <f t="shared" ref="K6:K7" si="1">I6*2.5/100</f>
        <v>4.5</v>
      </c>
      <c r="L6" s="82">
        <f t="shared" si="0"/>
        <v>3.4249999999999998</v>
      </c>
      <c r="M6" s="81">
        <v>75</v>
      </c>
      <c r="N6" s="81">
        <v>9</v>
      </c>
      <c r="O6" s="40" t="s">
        <v>222</v>
      </c>
      <c r="P6" s="81">
        <v>42</v>
      </c>
      <c r="Q6" s="79">
        <v>9703.2999999999993</v>
      </c>
      <c r="R6" t="s">
        <v>221</v>
      </c>
    </row>
    <row r="7" spans="1:19" x14ac:dyDescent="0.25">
      <c r="D7" s="38"/>
      <c r="F7" s="81">
        <v>7</v>
      </c>
      <c r="G7" s="81">
        <v>180</v>
      </c>
      <c r="H7" s="81">
        <v>0</v>
      </c>
      <c r="I7" s="81">
        <v>180</v>
      </c>
      <c r="J7" s="81">
        <v>138</v>
      </c>
      <c r="K7" s="82">
        <f t="shared" si="1"/>
        <v>4.5</v>
      </c>
      <c r="L7" s="82">
        <f t="shared" si="0"/>
        <v>3.45</v>
      </c>
      <c r="M7" s="81">
        <v>75</v>
      </c>
      <c r="N7" s="81">
        <v>9</v>
      </c>
      <c r="O7" s="40" t="s">
        <v>222</v>
      </c>
      <c r="P7" s="81">
        <v>42</v>
      </c>
      <c r="Q7" s="79">
        <v>10213.799999999999</v>
      </c>
      <c r="R7" t="s">
        <v>221</v>
      </c>
    </row>
    <row r="8" spans="1:19" x14ac:dyDescent="0.25">
      <c r="F8" s="81">
        <v>10</v>
      </c>
      <c r="G8" s="81">
        <v>180</v>
      </c>
      <c r="H8" s="81">
        <v>0</v>
      </c>
      <c r="I8" s="83">
        <f>K8/2.5*100</f>
        <v>190.79999999999998</v>
      </c>
      <c r="J8" s="83">
        <f t="shared" ref="J8:J9" si="2">L8/2.5*100</f>
        <v>145.6</v>
      </c>
      <c r="K8" s="82">
        <v>4.7699999999999996</v>
      </c>
      <c r="L8" s="82">
        <v>3.64</v>
      </c>
      <c r="M8" s="81">
        <v>75</v>
      </c>
      <c r="N8" s="81">
        <v>9</v>
      </c>
      <c r="O8" s="40" t="s">
        <v>222</v>
      </c>
      <c r="P8" s="81">
        <v>45</v>
      </c>
      <c r="Q8" s="79">
        <v>12288</v>
      </c>
      <c r="R8" t="s">
        <v>221</v>
      </c>
      <c r="S8" s="36" t="s">
        <v>216</v>
      </c>
    </row>
    <row r="9" spans="1:19" x14ac:dyDescent="0.25">
      <c r="F9" s="81">
        <v>12</v>
      </c>
      <c r="G9" s="81">
        <v>180</v>
      </c>
      <c r="H9" s="81">
        <v>0</v>
      </c>
      <c r="I9" s="83">
        <f>K9/2.5*100</f>
        <v>186.4</v>
      </c>
      <c r="J9" s="83">
        <f t="shared" si="2"/>
        <v>140.39999999999998</v>
      </c>
      <c r="K9" s="82">
        <v>4.66</v>
      </c>
      <c r="L9" s="82">
        <v>3.51</v>
      </c>
      <c r="M9" s="81">
        <v>75</v>
      </c>
      <c r="N9" s="81">
        <v>9</v>
      </c>
      <c r="O9" s="40" t="s">
        <v>222</v>
      </c>
      <c r="P9" s="81">
        <v>45</v>
      </c>
      <c r="Q9" s="79">
        <v>13276.9</v>
      </c>
      <c r="R9" t="s">
        <v>221</v>
      </c>
    </row>
    <row r="10" spans="1:19" x14ac:dyDescent="0.25">
      <c r="D10" s="36" t="s">
        <v>226</v>
      </c>
      <c r="F10" s="81">
        <v>14</v>
      </c>
      <c r="G10" s="81">
        <v>190</v>
      </c>
      <c r="H10" s="81">
        <v>0</v>
      </c>
      <c r="I10" s="81">
        <v>190</v>
      </c>
      <c r="J10" s="81">
        <v>145</v>
      </c>
      <c r="K10" s="82">
        <f t="shared" ref="K10" si="3">I10*2.5/100</f>
        <v>4.75</v>
      </c>
      <c r="L10" s="82">
        <f t="shared" ref="L10" si="4">J10*2.5/100</f>
        <v>3.625</v>
      </c>
      <c r="M10" s="81"/>
      <c r="N10" s="81">
        <v>9</v>
      </c>
      <c r="O10" s="40" t="s">
        <v>227</v>
      </c>
      <c r="P10" s="81">
        <v>53</v>
      </c>
      <c r="Q10" s="79">
        <v>15997.2</v>
      </c>
      <c r="R10" t="s">
        <v>221</v>
      </c>
    </row>
    <row r="11" spans="1:19" x14ac:dyDescent="0.25">
      <c r="F11" s="81"/>
      <c r="G11" s="81"/>
      <c r="H11" s="81"/>
      <c r="I11" s="81"/>
      <c r="J11" s="81"/>
      <c r="K11" s="82"/>
      <c r="L11" s="82"/>
      <c r="M11" s="81"/>
      <c r="N11" s="81"/>
      <c r="O11" s="40"/>
      <c r="P11" s="81"/>
      <c r="Q11" s="79"/>
      <c r="R11"/>
    </row>
    <row r="12" spans="1:19" x14ac:dyDescent="0.25">
      <c r="F12" s="81"/>
      <c r="G12" s="81"/>
      <c r="H12" s="81"/>
      <c r="I12" s="81"/>
      <c r="J12" s="81"/>
      <c r="K12" s="82"/>
      <c r="L12" s="82"/>
      <c r="M12" s="81"/>
      <c r="N12" s="81"/>
      <c r="O12" s="40"/>
      <c r="P12" s="81"/>
      <c r="Q12" s="79"/>
      <c r="R12"/>
    </row>
    <row r="13" spans="1:19" x14ac:dyDescent="0.25">
      <c r="B13" s="36" t="s">
        <v>243</v>
      </c>
      <c r="F13" s="81"/>
      <c r="G13" s="81"/>
      <c r="H13" s="81"/>
      <c r="I13" s="81"/>
      <c r="J13" s="81"/>
      <c r="K13" s="82"/>
      <c r="L13" s="82"/>
      <c r="M13" s="81"/>
      <c r="N13" s="81"/>
      <c r="O13" s="40"/>
      <c r="P13" s="81"/>
      <c r="Q13" s="79"/>
      <c r="R13"/>
    </row>
    <row r="14" spans="1:19" x14ac:dyDescent="0.25">
      <c r="F14" s="81"/>
      <c r="G14" s="81"/>
      <c r="H14" s="81"/>
      <c r="I14" s="81"/>
      <c r="J14" s="81"/>
      <c r="K14" s="82"/>
      <c r="L14" s="82"/>
      <c r="M14" s="81"/>
      <c r="N14" s="81"/>
      <c r="O14" s="40"/>
      <c r="P14" s="81"/>
      <c r="Q14" s="79"/>
      <c r="R14"/>
    </row>
    <row r="15" spans="1:19" x14ac:dyDescent="0.25">
      <c r="F15" s="81"/>
      <c r="G15" s="81"/>
      <c r="H15" s="81"/>
      <c r="I15" s="81"/>
      <c r="J15" s="81"/>
      <c r="K15" s="82"/>
      <c r="L15" s="82"/>
      <c r="M15" s="81"/>
      <c r="N15" s="81"/>
      <c r="O15" s="40"/>
      <c r="P15" s="81"/>
      <c r="Q15" s="79"/>
      <c r="R15"/>
    </row>
    <row r="16" spans="1:19" x14ac:dyDescent="0.25">
      <c r="F16" s="81"/>
      <c r="G16" s="81"/>
      <c r="H16" s="81"/>
      <c r="I16" s="81"/>
      <c r="J16" s="81"/>
      <c r="K16" s="82"/>
      <c r="L16" s="82"/>
      <c r="M16" s="81"/>
      <c r="N16" s="81"/>
      <c r="O16" s="40"/>
      <c r="P16" s="81"/>
      <c r="Q16" s="79"/>
      <c r="R16"/>
    </row>
    <row r="17" spans="1:18" x14ac:dyDescent="0.25">
      <c r="F17" s="81"/>
      <c r="G17" s="81"/>
      <c r="H17" s="81"/>
      <c r="I17" s="81"/>
      <c r="J17" s="81"/>
      <c r="K17" s="82"/>
      <c r="L17" s="82"/>
      <c r="M17" s="81"/>
      <c r="N17" s="81"/>
      <c r="O17" s="81"/>
      <c r="P17" s="81"/>
      <c r="Q17" s="79"/>
    </row>
    <row r="18" spans="1:18" x14ac:dyDescent="0.25">
      <c r="A18" s="36" t="s">
        <v>232</v>
      </c>
      <c r="D18" s="36" t="s">
        <v>233</v>
      </c>
      <c r="F18" s="81">
        <v>6</v>
      </c>
      <c r="G18" s="81">
        <v>180</v>
      </c>
      <c r="H18" s="81"/>
      <c r="I18" s="81">
        <v>201</v>
      </c>
      <c r="J18" s="81">
        <v>146</v>
      </c>
      <c r="K18" s="82">
        <f t="shared" ref="K18:K21" si="5">I18*2.5/100</f>
        <v>5.0250000000000004</v>
      </c>
      <c r="L18" s="82">
        <f t="shared" ref="L18:L21" si="6">J18*2.5/100</f>
        <v>3.65</v>
      </c>
      <c r="M18" s="81">
        <v>67</v>
      </c>
      <c r="N18" s="81">
        <v>9</v>
      </c>
      <c r="O18" s="40" t="s">
        <v>227</v>
      </c>
      <c r="P18" s="81"/>
      <c r="Q18" s="79">
        <v>8759</v>
      </c>
      <c r="R18" t="s">
        <v>234</v>
      </c>
    </row>
    <row r="19" spans="1:18" x14ac:dyDescent="0.25">
      <c r="F19" s="81">
        <v>8</v>
      </c>
      <c r="G19" s="81">
        <v>180</v>
      </c>
      <c r="H19" s="81"/>
      <c r="I19" s="81">
        <v>207</v>
      </c>
      <c r="J19" s="81">
        <v>152</v>
      </c>
      <c r="K19" s="82">
        <f t="shared" si="5"/>
        <v>5.1749999999999998</v>
      </c>
      <c r="L19" s="82">
        <f t="shared" si="6"/>
        <v>3.8</v>
      </c>
      <c r="M19" s="81">
        <v>67</v>
      </c>
      <c r="N19" s="81">
        <v>9</v>
      </c>
      <c r="O19" s="40" t="s">
        <v>227</v>
      </c>
      <c r="P19" s="81"/>
      <c r="Q19" s="79">
        <v>9398</v>
      </c>
      <c r="R19" t="s">
        <v>234</v>
      </c>
    </row>
    <row r="20" spans="1:18" x14ac:dyDescent="0.25">
      <c r="F20" s="81">
        <v>12</v>
      </c>
      <c r="G20" s="81">
        <v>180</v>
      </c>
      <c r="H20" s="81"/>
      <c r="I20" s="81">
        <v>214</v>
      </c>
      <c r="J20" s="81">
        <v>159</v>
      </c>
      <c r="K20" s="82">
        <f t="shared" si="5"/>
        <v>5.35</v>
      </c>
      <c r="L20" s="82">
        <f t="shared" si="6"/>
        <v>3.9750000000000001</v>
      </c>
      <c r="M20" s="81">
        <v>67</v>
      </c>
      <c r="N20" s="81">
        <v>9</v>
      </c>
      <c r="O20" s="40" t="s">
        <v>227</v>
      </c>
      <c r="P20" s="81"/>
      <c r="Q20" s="79">
        <v>10709</v>
      </c>
      <c r="R20" t="s">
        <v>234</v>
      </c>
    </row>
    <row r="21" spans="1:18" x14ac:dyDescent="0.25">
      <c r="B21" s="37"/>
      <c r="D21" s="38"/>
      <c r="E21" s="37"/>
      <c r="F21" s="81">
        <v>16</v>
      </c>
      <c r="G21" s="81">
        <v>180</v>
      </c>
      <c r="H21" s="81"/>
      <c r="I21" s="81">
        <v>205</v>
      </c>
      <c r="J21" s="81">
        <v>156</v>
      </c>
      <c r="K21" s="82">
        <f t="shared" si="5"/>
        <v>5.125</v>
      </c>
      <c r="L21" s="82">
        <f t="shared" si="6"/>
        <v>3.9</v>
      </c>
      <c r="M21" s="81">
        <v>67</v>
      </c>
      <c r="N21" s="81">
        <v>9</v>
      </c>
      <c r="O21" s="40" t="s">
        <v>227</v>
      </c>
      <c r="P21" s="81"/>
      <c r="Q21" s="79">
        <v>12859</v>
      </c>
      <c r="R21" t="s">
        <v>234</v>
      </c>
    </row>
    <row r="22" spans="1:18" x14ac:dyDescent="0.25">
      <c r="F22" s="81"/>
      <c r="G22" s="81"/>
      <c r="H22" s="81"/>
      <c r="I22" s="81"/>
      <c r="J22" s="81"/>
      <c r="K22" s="81"/>
      <c r="L22" s="82"/>
      <c r="M22" s="81"/>
      <c r="N22" s="81"/>
      <c r="O22" s="81"/>
      <c r="P22" s="81"/>
      <c r="Q22" s="79"/>
    </row>
    <row r="23" spans="1:18" x14ac:dyDescent="0.25">
      <c r="F23" s="81"/>
      <c r="G23" s="81"/>
      <c r="H23" s="81"/>
      <c r="I23" s="81"/>
      <c r="J23" s="81"/>
      <c r="K23" s="81"/>
      <c r="L23" s="82"/>
      <c r="M23" s="81"/>
      <c r="N23" s="81"/>
      <c r="O23" s="81"/>
      <c r="P23" s="81"/>
      <c r="Q23" s="79"/>
    </row>
    <row r="24" spans="1:18" x14ac:dyDescent="0.25">
      <c r="A24" s="36" t="s">
        <v>245</v>
      </c>
      <c r="F24" s="81"/>
      <c r="G24" s="81"/>
      <c r="H24" s="81"/>
      <c r="I24" s="81"/>
      <c r="J24" s="81"/>
      <c r="K24" s="81"/>
      <c r="L24" s="82"/>
      <c r="M24" s="81"/>
      <c r="N24" s="81"/>
      <c r="O24" s="81"/>
      <c r="P24" s="81"/>
      <c r="Q24" s="79"/>
    </row>
    <row r="25" spans="1:18" x14ac:dyDescent="0.25">
      <c r="D25" s="36" t="s">
        <v>246</v>
      </c>
      <c r="F25" s="81">
        <v>20</v>
      </c>
      <c r="G25" s="81"/>
      <c r="H25" s="81"/>
      <c r="I25" s="81"/>
      <c r="J25" s="81">
        <v>80</v>
      </c>
      <c r="K25" s="81"/>
      <c r="L25" s="82"/>
      <c r="M25" s="81"/>
      <c r="N25" s="81"/>
      <c r="O25" s="81"/>
      <c r="P25" s="81"/>
      <c r="Q25" s="79">
        <v>11938.28</v>
      </c>
      <c r="R25" s="36" t="s">
        <v>247</v>
      </c>
    </row>
    <row r="26" spans="1:18" x14ac:dyDescent="0.25">
      <c r="F26" s="81"/>
      <c r="G26" s="81"/>
      <c r="H26" s="81"/>
      <c r="I26" s="81"/>
      <c r="J26" s="81"/>
      <c r="K26" s="81"/>
      <c r="L26" s="82"/>
      <c r="M26" s="81"/>
      <c r="N26" s="81"/>
      <c r="O26" s="81"/>
      <c r="P26" s="81"/>
      <c r="Q26" s="79"/>
    </row>
    <row r="27" spans="1:18" x14ac:dyDescent="0.25">
      <c r="D27" t="s">
        <v>244</v>
      </c>
      <c r="F27" s="81">
        <v>20</v>
      </c>
      <c r="G27" s="81"/>
      <c r="H27" s="81"/>
      <c r="I27" s="81"/>
      <c r="J27" s="81"/>
      <c r="K27" s="81"/>
      <c r="L27" s="82"/>
      <c r="M27" s="81"/>
      <c r="N27" s="81"/>
      <c r="O27" s="81"/>
      <c r="P27" s="81"/>
      <c r="Q27" s="79">
        <v>5709</v>
      </c>
      <c r="R27" t="s">
        <v>234</v>
      </c>
    </row>
    <row r="28" spans="1:18" x14ac:dyDescent="0.25">
      <c r="B28" s="40"/>
      <c r="C28" s="4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79"/>
    </row>
    <row r="29" spans="1:18" x14ac:dyDescent="0.25">
      <c r="B29" s="40"/>
      <c r="C29" s="40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79"/>
    </row>
    <row r="30" spans="1:18" x14ac:dyDescent="0.25">
      <c r="A30" s="36" t="s">
        <v>235</v>
      </c>
      <c r="D30" t="s">
        <v>236</v>
      </c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79">
        <v>3525.9</v>
      </c>
      <c r="R30" t="s">
        <v>234</v>
      </c>
    </row>
    <row r="31" spans="1:18" x14ac:dyDescent="0.25">
      <c r="B31" s="40"/>
      <c r="C31" s="40"/>
      <c r="D31" s="36" t="s">
        <v>237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79"/>
    </row>
    <row r="32" spans="1:18" x14ac:dyDescent="0.25"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79"/>
    </row>
    <row r="33" spans="1:18" x14ac:dyDescent="0.25">
      <c r="A33" s="36" t="s">
        <v>240</v>
      </c>
      <c r="B33" s="39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79"/>
    </row>
    <row r="34" spans="1:18" x14ac:dyDescent="0.25">
      <c r="D34" s="36" t="s">
        <v>239</v>
      </c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79">
        <v>985</v>
      </c>
      <c r="R34" t="s">
        <v>234</v>
      </c>
    </row>
    <row r="35" spans="1:18" x14ac:dyDescent="0.25"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79"/>
    </row>
    <row r="36" spans="1:18" x14ac:dyDescent="0.25">
      <c r="D36" s="36" t="s">
        <v>240</v>
      </c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79">
        <v>364.9</v>
      </c>
      <c r="R36" t="s">
        <v>234</v>
      </c>
    </row>
    <row r="37" spans="1:18" x14ac:dyDescent="0.25"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79"/>
    </row>
    <row r="38" spans="1:18" x14ac:dyDescent="0.25"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79"/>
    </row>
    <row r="39" spans="1:18" x14ac:dyDescent="0.25"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79"/>
    </row>
    <row r="40" spans="1:18" x14ac:dyDescent="0.25"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79"/>
    </row>
    <row r="41" spans="1:18" x14ac:dyDescent="0.25"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79"/>
    </row>
    <row r="42" spans="1:18" x14ac:dyDescent="0.25"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79"/>
    </row>
    <row r="43" spans="1:18" x14ac:dyDescent="0.25"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79"/>
    </row>
    <row r="44" spans="1:18" x14ac:dyDescent="0.25"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79"/>
    </row>
    <row r="45" spans="1:18" x14ac:dyDescent="0.25">
      <c r="A45" s="36" t="s">
        <v>201</v>
      </c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79"/>
    </row>
    <row r="54" spans="1:2" x14ac:dyDescent="0.25">
      <c r="A54" s="36" t="s">
        <v>205</v>
      </c>
    </row>
    <row r="55" spans="1:2" x14ac:dyDescent="0.25">
      <c r="B55" s="36" t="s">
        <v>206</v>
      </c>
    </row>
    <row r="59" spans="1:2" x14ac:dyDescent="0.25">
      <c r="B59" s="36" t="s">
        <v>207</v>
      </c>
    </row>
    <row r="63" spans="1:2" x14ac:dyDescent="0.25">
      <c r="B63" s="36" t="s">
        <v>208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5CE8-0B7E-41C2-94FD-634F9BE55B2E}">
  <dimension ref="A1:B8"/>
  <sheetViews>
    <sheetView workbookViewId="0">
      <selection activeCell="I33" sqref="I33"/>
    </sheetView>
  </sheetViews>
  <sheetFormatPr baseColWidth="10" defaultRowHeight="15" x14ac:dyDescent="0.25"/>
  <sheetData>
    <row r="1" spans="1:2" x14ac:dyDescent="0.25">
      <c r="A1" t="s">
        <v>128</v>
      </c>
      <c r="B1">
        <v>950</v>
      </c>
    </row>
    <row r="2" spans="1:2" x14ac:dyDescent="0.25">
      <c r="A2" t="s">
        <v>158</v>
      </c>
      <c r="B2">
        <v>900</v>
      </c>
    </row>
    <row r="3" spans="1:2" x14ac:dyDescent="0.25">
      <c r="A3" t="s">
        <v>159</v>
      </c>
      <c r="B3">
        <v>900</v>
      </c>
    </row>
    <row r="4" spans="1:2" x14ac:dyDescent="0.25">
      <c r="A4" t="s">
        <v>160</v>
      </c>
      <c r="B4">
        <v>800</v>
      </c>
    </row>
    <row r="5" spans="1:2" x14ac:dyDescent="0.25">
      <c r="A5" t="s">
        <v>161</v>
      </c>
      <c r="B5">
        <v>800</v>
      </c>
    </row>
    <row r="6" spans="1:2" x14ac:dyDescent="0.25">
      <c r="A6" t="s">
        <v>162</v>
      </c>
      <c r="B6">
        <v>700</v>
      </c>
    </row>
    <row r="7" spans="1:2" x14ac:dyDescent="0.25">
      <c r="A7" t="s">
        <v>164</v>
      </c>
      <c r="B7">
        <v>700</v>
      </c>
    </row>
    <row r="8" spans="1:2" x14ac:dyDescent="0.25">
      <c r="A8" t="s">
        <v>163</v>
      </c>
      <c r="B8">
        <v>500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F82E9-0FD3-49CA-B21B-114475D753E9}">
  <dimension ref="A1:K27"/>
  <sheetViews>
    <sheetView workbookViewId="0">
      <selection activeCell="F33" sqref="F33"/>
    </sheetView>
  </sheetViews>
  <sheetFormatPr baseColWidth="10" defaultRowHeight="15" x14ac:dyDescent="0.25"/>
  <cols>
    <col min="1" max="1" width="26.5703125" customWidth="1"/>
  </cols>
  <sheetData>
    <row r="1" spans="1:11" x14ac:dyDescent="0.25">
      <c r="A1" t="s">
        <v>253</v>
      </c>
      <c r="B1" s="5">
        <f>Eingaben!E12</f>
        <v>20000</v>
      </c>
    </row>
    <row r="4" spans="1:11" x14ac:dyDescent="0.25">
      <c r="A4" t="s">
        <v>258</v>
      </c>
      <c r="B4" s="1"/>
      <c r="C4" s="1">
        <v>1</v>
      </c>
      <c r="D4" s="1">
        <v>1.5</v>
      </c>
      <c r="E4" s="1">
        <v>2</v>
      </c>
      <c r="F4" s="1">
        <v>2.5</v>
      </c>
      <c r="G4" s="1">
        <v>3</v>
      </c>
      <c r="H4" s="1">
        <v>3.5</v>
      </c>
      <c r="I4" s="1">
        <v>4</v>
      </c>
      <c r="J4" s="1">
        <v>4.5</v>
      </c>
      <c r="K4" s="1">
        <v>5</v>
      </c>
    </row>
    <row r="5" spans="1:11" x14ac:dyDescent="0.25">
      <c r="B5" s="1" t="s">
        <v>254</v>
      </c>
      <c r="C5" s="5">
        <f>B1*B20</f>
        <v>6040</v>
      </c>
      <c r="D5" s="5">
        <f>C5</f>
        <v>6040</v>
      </c>
      <c r="E5" s="5">
        <f t="shared" ref="E5:K5" si="0">D5</f>
        <v>6040</v>
      </c>
      <c r="F5" s="5">
        <f t="shared" si="0"/>
        <v>6040</v>
      </c>
      <c r="G5" s="5">
        <f t="shared" si="0"/>
        <v>6040</v>
      </c>
      <c r="H5" s="5">
        <f t="shared" si="0"/>
        <v>6040</v>
      </c>
      <c r="I5" s="5">
        <f t="shared" si="0"/>
        <v>6040</v>
      </c>
      <c r="J5" s="5">
        <f t="shared" si="0"/>
        <v>6040</v>
      </c>
      <c r="K5" s="5">
        <f t="shared" si="0"/>
        <v>6040</v>
      </c>
    </row>
    <row r="6" spans="1:11" x14ac:dyDescent="0.25">
      <c r="B6" s="1" t="s">
        <v>255</v>
      </c>
      <c r="C6" s="5">
        <f>B1*B21</f>
        <v>4880</v>
      </c>
      <c r="D6" s="5">
        <f>C6</f>
        <v>4880</v>
      </c>
      <c r="E6" s="5">
        <f t="shared" ref="E6:K6" si="1">D6</f>
        <v>4880</v>
      </c>
      <c r="F6" s="5">
        <f t="shared" si="1"/>
        <v>4880</v>
      </c>
      <c r="G6" s="5">
        <f t="shared" si="1"/>
        <v>4880</v>
      </c>
      <c r="H6" s="5">
        <f t="shared" si="1"/>
        <v>4880</v>
      </c>
      <c r="I6" s="5">
        <f t="shared" si="1"/>
        <v>4880</v>
      </c>
      <c r="J6" s="5">
        <f t="shared" si="1"/>
        <v>4880</v>
      </c>
      <c r="K6" s="5">
        <f t="shared" si="1"/>
        <v>4880</v>
      </c>
    </row>
    <row r="7" spans="1:11" x14ac:dyDescent="0.25">
      <c r="B7" s="1" t="s">
        <v>256</v>
      </c>
      <c r="C7" s="5">
        <f>$B$1*$B$22/C4</f>
        <v>7600</v>
      </c>
      <c r="D7" s="5">
        <f t="shared" ref="D7:K7" si="2">$B$1*$B$22/D4</f>
        <v>5066.666666666667</v>
      </c>
      <c r="E7" s="5">
        <f t="shared" si="2"/>
        <v>3800</v>
      </c>
      <c r="F7" s="5">
        <f t="shared" si="2"/>
        <v>3040</v>
      </c>
      <c r="G7" s="5">
        <f t="shared" si="2"/>
        <v>2533.3333333333335</v>
      </c>
      <c r="H7" s="5">
        <f t="shared" si="2"/>
        <v>2171.4285714285716</v>
      </c>
      <c r="I7" s="5">
        <f t="shared" si="2"/>
        <v>1900</v>
      </c>
      <c r="J7" s="5">
        <f t="shared" si="2"/>
        <v>1688.8888888888889</v>
      </c>
      <c r="K7" s="5">
        <f t="shared" si="2"/>
        <v>1520</v>
      </c>
    </row>
    <row r="10" spans="1:11" x14ac:dyDescent="0.25">
      <c r="B10" s="1"/>
      <c r="C10" s="1">
        <v>1</v>
      </c>
      <c r="D10" s="1">
        <v>1.5</v>
      </c>
      <c r="E10" s="1">
        <v>2</v>
      </c>
      <c r="F10" s="1">
        <v>2.5</v>
      </c>
      <c r="G10" s="1">
        <v>3</v>
      </c>
      <c r="H10" s="1">
        <v>3.5</v>
      </c>
      <c r="I10" s="1">
        <v>4</v>
      </c>
      <c r="J10" s="1">
        <v>4.5</v>
      </c>
      <c r="K10" s="1">
        <v>5</v>
      </c>
    </row>
    <row r="11" spans="1:11" x14ac:dyDescent="0.25">
      <c r="B11" s="1" t="s">
        <v>254</v>
      </c>
      <c r="C11" s="5">
        <f>B1*B24</f>
        <v>2000</v>
      </c>
      <c r="D11" s="5">
        <f>C11</f>
        <v>2000</v>
      </c>
      <c r="E11" s="5">
        <f t="shared" ref="E11:K11" si="3">D11</f>
        <v>2000</v>
      </c>
      <c r="F11" s="5">
        <f t="shared" si="3"/>
        <v>2000</v>
      </c>
      <c r="G11" s="5">
        <f t="shared" si="3"/>
        <v>2000</v>
      </c>
      <c r="H11" s="5">
        <f t="shared" si="3"/>
        <v>2000</v>
      </c>
      <c r="I11" s="5">
        <f t="shared" si="3"/>
        <v>2000</v>
      </c>
      <c r="J11" s="5">
        <f t="shared" si="3"/>
        <v>2000</v>
      </c>
      <c r="K11" s="5">
        <f t="shared" si="3"/>
        <v>2000</v>
      </c>
    </row>
    <row r="12" spans="1:11" x14ac:dyDescent="0.25">
      <c r="B12" s="1" t="s">
        <v>255</v>
      </c>
      <c r="C12" s="5">
        <f>B1*B25</f>
        <v>1800</v>
      </c>
      <c r="D12" s="5">
        <f>C12</f>
        <v>1800</v>
      </c>
      <c r="E12" s="5">
        <f t="shared" ref="E12:K12" si="4">D12</f>
        <v>1800</v>
      </c>
      <c r="F12" s="5">
        <f t="shared" si="4"/>
        <v>1800</v>
      </c>
      <c r="G12" s="5">
        <f t="shared" si="4"/>
        <v>1800</v>
      </c>
      <c r="H12" s="5">
        <f t="shared" si="4"/>
        <v>1800</v>
      </c>
      <c r="I12" s="5">
        <f t="shared" si="4"/>
        <v>1800</v>
      </c>
      <c r="J12" s="5">
        <f t="shared" si="4"/>
        <v>1800</v>
      </c>
      <c r="K12" s="5">
        <f t="shared" si="4"/>
        <v>1800</v>
      </c>
    </row>
    <row r="13" spans="1:11" x14ac:dyDescent="0.25">
      <c r="B13" s="1" t="s">
        <v>256</v>
      </c>
      <c r="C13" s="5">
        <f>$B$1*$B$26/C10</f>
        <v>5200</v>
      </c>
      <c r="D13" s="5">
        <f>$B$1*$B$26/D10</f>
        <v>3466.6666666666665</v>
      </c>
      <c r="E13" s="5">
        <f t="shared" ref="E13:K13" si="5">$B$1*$B$26/E10</f>
        <v>2600</v>
      </c>
      <c r="F13" s="5">
        <f t="shared" si="5"/>
        <v>2080</v>
      </c>
      <c r="G13" s="5">
        <f t="shared" si="5"/>
        <v>1733.3333333333333</v>
      </c>
      <c r="H13" s="5">
        <f t="shared" si="5"/>
        <v>1485.7142857142858</v>
      </c>
      <c r="I13" s="5">
        <f t="shared" si="5"/>
        <v>1300</v>
      </c>
      <c r="J13" s="5">
        <f t="shared" si="5"/>
        <v>1155.5555555555557</v>
      </c>
      <c r="K13" s="5">
        <f t="shared" si="5"/>
        <v>1040</v>
      </c>
    </row>
    <row r="14" spans="1:11" x14ac:dyDescent="0.25">
      <c r="B14" s="1" t="s">
        <v>263</v>
      </c>
      <c r="C14" s="5">
        <f>$B$1*$B$27/C10</f>
        <v>4000</v>
      </c>
      <c r="D14" s="5">
        <f t="shared" ref="D14:K14" si="6">$B$1*$B$27/D10</f>
        <v>2666.6666666666665</v>
      </c>
      <c r="E14" s="5">
        <f t="shared" si="6"/>
        <v>2000</v>
      </c>
      <c r="F14" s="5">
        <f t="shared" si="6"/>
        <v>1600</v>
      </c>
      <c r="G14" s="5">
        <f t="shared" si="6"/>
        <v>1333.3333333333333</v>
      </c>
      <c r="H14" s="5">
        <f t="shared" si="6"/>
        <v>1142.8571428571429</v>
      </c>
      <c r="I14" s="5">
        <f t="shared" si="6"/>
        <v>1000</v>
      </c>
      <c r="J14" s="5">
        <f t="shared" si="6"/>
        <v>888.88888888888891</v>
      </c>
      <c r="K14" s="5">
        <f t="shared" si="6"/>
        <v>800</v>
      </c>
    </row>
    <row r="20" spans="1:4" x14ac:dyDescent="0.25">
      <c r="A20" t="s">
        <v>250</v>
      </c>
      <c r="B20">
        <v>0.30199999999999999</v>
      </c>
      <c r="C20" t="s">
        <v>257</v>
      </c>
    </row>
    <row r="21" spans="1:4" x14ac:dyDescent="0.25">
      <c r="A21" t="s">
        <v>249</v>
      </c>
      <c r="B21">
        <v>0.24399999999999999</v>
      </c>
      <c r="C21" t="s">
        <v>257</v>
      </c>
    </row>
    <row r="22" spans="1:4" x14ac:dyDescent="0.25">
      <c r="A22" t="s">
        <v>251</v>
      </c>
      <c r="B22" s="43">
        <v>0.38</v>
      </c>
      <c r="C22" t="s">
        <v>257</v>
      </c>
      <c r="D22" s="88" t="s">
        <v>252</v>
      </c>
    </row>
    <row r="24" spans="1:4" x14ac:dyDescent="0.25">
      <c r="A24" t="s">
        <v>259</v>
      </c>
      <c r="B24" s="44">
        <v>0.1</v>
      </c>
      <c r="C24" t="s">
        <v>63</v>
      </c>
    </row>
    <row r="25" spans="1:4" x14ac:dyDescent="0.25">
      <c r="A25" t="s">
        <v>260</v>
      </c>
      <c r="B25" s="44">
        <v>0.09</v>
      </c>
      <c r="C25" t="s">
        <v>63</v>
      </c>
    </row>
    <row r="26" spans="1:4" x14ac:dyDescent="0.25">
      <c r="A26" t="s">
        <v>261</v>
      </c>
      <c r="B26" s="44">
        <v>0.26</v>
      </c>
      <c r="C26" t="s">
        <v>63</v>
      </c>
    </row>
    <row r="27" spans="1:4" x14ac:dyDescent="0.25">
      <c r="A27" t="s">
        <v>262</v>
      </c>
      <c r="B27" s="44">
        <v>0.2</v>
      </c>
      <c r="C27" t="s">
        <v>63</v>
      </c>
    </row>
  </sheetData>
  <hyperlinks>
    <hyperlink ref="D22" r:id="rId1" xr:uid="{8D3E393C-9F3C-4670-9A1F-FB01C0B4CFDA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Eingaben</vt:lpstr>
      <vt:lpstr>Invest und Kosten</vt:lpstr>
      <vt:lpstr>Ergebnisse</vt:lpstr>
      <vt:lpstr>Simulation</vt:lpstr>
      <vt:lpstr>Wärmepumpe</vt:lpstr>
      <vt:lpstr>Konstanten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hjw</dc:creator>
  <cp:lastModifiedBy>Fabian Berg</cp:lastModifiedBy>
  <cp:lastPrinted>2024-10-20T13:00:55Z</cp:lastPrinted>
  <dcterms:created xsi:type="dcterms:W3CDTF">2017-08-31T16:16:54Z</dcterms:created>
  <dcterms:modified xsi:type="dcterms:W3CDTF">2025-02-19T07:25:16Z</dcterms:modified>
</cp:coreProperties>
</file>