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jw\Documents\Horst2020\AMU\Energieberatung\"/>
    </mc:Choice>
  </mc:AlternateContent>
  <xr:revisionPtr revIDLastSave="0" documentId="13_ncr:1_{E1776624-225D-4369-A797-E743E4FF5DE1}" xr6:coauthVersionLast="47" xr6:coauthVersionMax="47" xr10:uidLastSave="{00000000-0000-0000-0000-000000000000}"/>
  <bookViews>
    <workbookView xWindow="-120" yWindow="-120" windowWidth="20730" windowHeight="11760" xr2:uid="{11706E2D-EC88-4312-99F6-AF4A6B7CB39B}"/>
  </bookViews>
  <sheets>
    <sheet name="Eingaben" sheetId="9" r:id="rId1"/>
    <sheet name="Invest und Kosten" sheetId="5" r:id="rId2"/>
    <sheet name="Ergebnisse" sheetId="10" r:id="rId3"/>
    <sheet name="Simulation" sheetId="7" r:id="rId4"/>
    <sheet name="Wärmepumpe" sheetId="6" r:id="rId5"/>
    <sheet name="Tabelle2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9" l="1"/>
  <c r="M19" i="9"/>
  <c r="L19" i="9"/>
  <c r="K19" i="9"/>
  <c r="J19" i="9"/>
  <c r="I19" i="9"/>
  <c r="C9" i="9"/>
  <c r="B10" i="10"/>
  <c r="B9" i="10"/>
  <c r="F19" i="9"/>
  <c r="C13" i="9"/>
  <c r="I16" i="9" s="1"/>
  <c r="K10" i="9"/>
  <c r="J10" i="9"/>
  <c r="I10" i="9"/>
  <c r="H10" i="9"/>
  <c r="K9" i="9"/>
  <c r="J9" i="9"/>
  <c r="I9" i="9"/>
  <c r="H9" i="9"/>
  <c r="K8" i="9"/>
  <c r="J8" i="9"/>
  <c r="I8" i="9"/>
  <c r="H8" i="9"/>
  <c r="I22" i="9" l="1"/>
  <c r="G6" i="5" s="1"/>
  <c r="H55" i="7" l="1"/>
  <c r="I56" i="7" s="1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J55" i="7" l="1"/>
  <c r="J56" i="7"/>
  <c r="I55" i="7"/>
  <c r="C14" i="7"/>
  <c r="F52" i="7" l="1"/>
  <c r="N37" i="7" l="1"/>
  <c r="C9" i="7" l="1"/>
  <c r="C23" i="6"/>
  <c r="C22" i="6"/>
  <c r="D9" i="6"/>
  <c r="AD41" i="5"/>
  <c r="AD38" i="5"/>
  <c r="AD32" i="5"/>
  <c r="AD30" i="5"/>
  <c r="AD29" i="5"/>
  <c r="AD28" i="5"/>
  <c r="AD18" i="5"/>
  <c r="AD17" i="5"/>
  <c r="AD16" i="5"/>
  <c r="AD15" i="5"/>
  <c r="AD14" i="5"/>
  <c r="AD13" i="5"/>
  <c r="AD12" i="5"/>
  <c r="AD11" i="5"/>
  <c r="AD10" i="5"/>
  <c r="AD9" i="5"/>
  <c r="AD8" i="5"/>
  <c r="AD7" i="5"/>
  <c r="AD5" i="5"/>
  <c r="T41" i="5"/>
  <c r="T38" i="5"/>
  <c r="T32" i="5"/>
  <c r="T31" i="5"/>
  <c r="AD31" i="5" s="1"/>
  <c r="T30" i="5"/>
  <c r="T29" i="5"/>
  <c r="T28" i="5"/>
  <c r="T19" i="5"/>
  <c r="T18" i="5"/>
  <c r="T17" i="5"/>
  <c r="T16" i="5"/>
  <c r="T15" i="5"/>
  <c r="T14" i="5"/>
  <c r="T13" i="5"/>
  <c r="T12" i="5"/>
  <c r="T11" i="5"/>
  <c r="T10" i="5"/>
  <c r="T9" i="5"/>
  <c r="T8" i="5"/>
  <c r="T7" i="5"/>
  <c r="T5" i="5"/>
  <c r="T4" i="5"/>
  <c r="AD4" i="5" s="1"/>
  <c r="J37" i="5"/>
  <c r="AD37" i="5" s="1"/>
  <c r="J33" i="5"/>
  <c r="J48" i="5" s="1"/>
  <c r="J53" i="5" s="1"/>
  <c r="S31" i="5"/>
  <c r="AC31" i="5" s="1"/>
  <c r="R31" i="5"/>
  <c r="AB31" i="5" s="1"/>
  <c r="Q31" i="5"/>
  <c r="AA31" i="5" s="1"/>
  <c r="P31" i="5"/>
  <c r="Z31" i="5" s="1"/>
  <c r="O31" i="5"/>
  <c r="Y31" i="5" s="1"/>
  <c r="N31" i="5"/>
  <c r="X31" i="5" s="1"/>
  <c r="M31" i="5"/>
  <c r="W31" i="5" s="1"/>
  <c r="J36" i="5"/>
  <c r="J39" i="5" l="1"/>
  <c r="AD39" i="5" s="1"/>
  <c r="M17" i="7"/>
  <c r="M23" i="7" s="1"/>
  <c r="B17" i="7"/>
  <c r="D17" i="7"/>
  <c r="F17" i="7"/>
  <c r="H17" i="7"/>
  <c r="J17" i="7"/>
  <c r="L17" i="7"/>
  <c r="C17" i="7"/>
  <c r="E17" i="7"/>
  <c r="G17" i="7"/>
  <c r="I17" i="7"/>
  <c r="K17" i="7"/>
  <c r="T37" i="5"/>
  <c r="AD33" i="5"/>
  <c r="AD48" i="5" s="1"/>
  <c r="AD53" i="5" s="1"/>
  <c r="AD36" i="5"/>
  <c r="T36" i="5"/>
  <c r="J6" i="5"/>
  <c r="C36" i="5"/>
  <c r="R18" i="5"/>
  <c r="Q18" i="5"/>
  <c r="R17" i="5"/>
  <c r="Q17" i="5"/>
  <c r="R16" i="5"/>
  <c r="Q16" i="5"/>
  <c r="R15" i="5"/>
  <c r="Q15" i="5"/>
  <c r="R14" i="5"/>
  <c r="Q14" i="5"/>
  <c r="R13" i="5"/>
  <c r="Q13" i="5"/>
  <c r="R12" i="5"/>
  <c r="Q12" i="5"/>
  <c r="R11" i="5"/>
  <c r="Q11" i="5"/>
  <c r="R10" i="5"/>
  <c r="Q10" i="5"/>
  <c r="R9" i="5"/>
  <c r="Q9" i="5"/>
  <c r="R8" i="5"/>
  <c r="Q8" i="5"/>
  <c r="R7" i="5"/>
  <c r="Q7" i="5"/>
  <c r="R5" i="5"/>
  <c r="Q5" i="5"/>
  <c r="C10" i="7"/>
  <c r="L18" i="7" s="1"/>
  <c r="Q6" i="5"/>
  <c r="J40" i="5" l="1"/>
  <c r="T40" i="5" s="1"/>
  <c r="T39" i="5"/>
  <c r="M25" i="7"/>
  <c r="M26" i="7"/>
  <c r="I24" i="7"/>
  <c r="E24" i="7"/>
  <c r="L24" i="7"/>
  <c r="L27" i="7"/>
  <c r="H24" i="7"/>
  <c r="D24" i="7"/>
  <c r="K24" i="7"/>
  <c r="G24" i="7"/>
  <c r="C24" i="7"/>
  <c r="J24" i="7"/>
  <c r="F24" i="7"/>
  <c r="B24" i="7"/>
  <c r="B27" i="7"/>
  <c r="M24" i="7"/>
  <c r="M27" i="7"/>
  <c r="L28" i="7"/>
  <c r="B31" i="7"/>
  <c r="L31" i="7"/>
  <c r="M31" i="7"/>
  <c r="I23" i="7"/>
  <c r="I25" i="7"/>
  <c r="E23" i="7"/>
  <c r="E25" i="7"/>
  <c r="L26" i="7"/>
  <c r="L23" i="7"/>
  <c r="L25" i="7"/>
  <c r="H23" i="7"/>
  <c r="H25" i="7"/>
  <c r="D23" i="7"/>
  <c r="D25" i="7"/>
  <c r="K23" i="7"/>
  <c r="K25" i="7"/>
  <c r="G23" i="7"/>
  <c r="G25" i="7"/>
  <c r="C23" i="7"/>
  <c r="C25" i="7"/>
  <c r="J23" i="7"/>
  <c r="J25" i="7"/>
  <c r="F23" i="7"/>
  <c r="F25" i="7"/>
  <c r="B23" i="7"/>
  <c r="B25" i="7"/>
  <c r="B26" i="7"/>
  <c r="H18" i="7"/>
  <c r="H31" i="7" s="1"/>
  <c r="D18" i="7"/>
  <c r="D28" i="7" s="1"/>
  <c r="K18" i="7"/>
  <c r="K31" i="7" s="1"/>
  <c r="G18" i="7"/>
  <c r="G27" i="7" s="1"/>
  <c r="C18" i="7"/>
  <c r="C31" i="7" s="1"/>
  <c r="J18" i="7"/>
  <c r="J27" i="7" s="1"/>
  <c r="F18" i="7"/>
  <c r="F28" i="7" s="1"/>
  <c r="B18" i="7"/>
  <c r="B29" i="7" s="1"/>
  <c r="M18" i="7"/>
  <c r="M29" i="7" s="1"/>
  <c r="I18" i="7"/>
  <c r="I26" i="7" s="1"/>
  <c r="E18" i="7"/>
  <c r="E26" i="7" s="1"/>
  <c r="C11" i="7"/>
  <c r="C13" i="7" s="1"/>
  <c r="N17" i="7"/>
  <c r="N25" i="7" s="1"/>
  <c r="J42" i="5"/>
  <c r="J49" i="5" s="1"/>
  <c r="J54" i="5" s="1"/>
  <c r="J20" i="5"/>
  <c r="J21" i="5" s="1"/>
  <c r="J22" i="5" s="1"/>
  <c r="AD6" i="5"/>
  <c r="AD20" i="5" s="1"/>
  <c r="AD21" i="5" s="1"/>
  <c r="AD22" i="5" s="1"/>
  <c r="T6" i="5"/>
  <c r="T20" i="5" s="1"/>
  <c r="AD23" i="5"/>
  <c r="AD24" i="5" s="1"/>
  <c r="AD47" i="5" s="1"/>
  <c r="AD52" i="5" s="1"/>
  <c r="D6" i="5"/>
  <c r="D20" i="5" s="1"/>
  <c r="H6" i="5"/>
  <c r="R6" i="5" s="1"/>
  <c r="R20" i="5" s="1"/>
  <c r="R21" i="5" s="1"/>
  <c r="I6" i="5"/>
  <c r="AC6" i="5" s="1"/>
  <c r="AC41" i="5"/>
  <c r="AB41" i="5"/>
  <c r="AA41" i="5"/>
  <c r="Z41" i="5"/>
  <c r="X41" i="5"/>
  <c r="W41" i="5"/>
  <c r="Y40" i="5"/>
  <c r="X40" i="5"/>
  <c r="W40" i="5"/>
  <c r="Z39" i="5"/>
  <c r="Y39" i="5"/>
  <c r="W39" i="5"/>
  <c r="AC38" i="5"/>
  <c r="Y38" i="5"/>
  <c r="X38" i="5"/>
  <c r="S41" i="5"/>
  <c r="R41" i="5"/>
  <c r="Q41" i="5"/>
  <c r="P41" i="5"/>
  <c r="N41" i="5"/>
  <c r="M41" i="5"/>
  <c r="O40" i="5"/>
  <c r="N40" i="5"/>
  <c r="M40" i="5"/>
  <c r="P39" i="5"/>
  <c r="O39" i="5"/>
  <c r="M39" i="5"/>
  <c r="S38" i="5"/>
  <c r="O38" i="5"/>
  <c r="N38" i="5"/>
  <c r="AC32" i="5"/>
  <c r="AB32" i="5"/>
  <c r="AA32" i="5"/>
  <c r="Z32" i="5"/>
  <c r="Y32" i="5"/>
  <c r="X32" i="5"/>
  <c r="W32" i="5"/>
  <c r="AC30" i="5"/>
  <c r="AB30" i="5"/>
  <c r="AA30" i="5"/>
  <c r="Z30" i="5"/>
  <c r="Y30" i="5"/>
  <c r="X30" i="5"/>
  <c r="W30" i="5"/>
  <c r="AC29" i="5"/>
  <c r="AB29" i="5"/>
  <c r="AA29" i="5"/>
  <c r="Z29" i="5"/>
  <c r="Y29" i="5"/>
  <c r="X29" i="5"/>
  <c r="W29" i="5"/>
  <c r="AC28" i="5"/>
  <c r="AB28" i="5"/>
  <c r="AA28" i="5"/>
  <c r="Z28" i="5"/>
  <c r="Y28" i="5"/>
  <c r="X28" i="5"/>
  <c r="W28" i="5"/>
  <c r="S32" i="5"/>
  <c r="R32" i="5"/>
  <c r="Q32" i="5"/>
  <c r="P32" i="5"/>
  <c r="O32" i="5"/>
  <c r="N32" i="5"/>
  <c r="M32" i="5"/>
  <c r="S30" i="5"/>
  <c r="R30" i="5"/>
  <c r="Q30" i="5"/>
  <c r="P30" i="5"/>
  <c r="O30" i="5"/>
  <c r="N30" i="5"/>
  <c r="M30" i="5"/>
  <c r="S29" i="5"/>
  <c r="R29" i="5"/>
  <c r="Q29" i="5"/>
  <c r="P29" i="5"/>
  <c r="O29" i="5"/>
  <c r="N29" i="5"/>
  <c r="M29" i="5"/>
  <c r="S28" i="5"/>
  <c r="R28" i="5"/>
  <c r="Q28" i="5"/>
  <c r="P28" i="5"/>
  <c r="O28" i="5"/>
  <c r="N28" i="5"/>
  <c r="M28" i="5"/>
  <c r="AC18" i="5"/>
  <c r="AB18" i="5"/>
  <c r="AA18" i="5"/>
  <c r="Z18" i="5"/>
  <c r="Y18" i="5"/>
  <c r="X18" i="5"/>
  <c r="W18" i="5"/>
  <c r="AC17" i="5"/>
  <c r="AB17" i="5"/>
  <c r="AA17" i="5"/>
  <c r="Z17" i="5"/>
  <c r="Y17" i="5"/>
  <c r="X17" i="5"/>
  <c r="W17" i="5"/>
  <c r="AC16" i="5"/>
  <c r="AB16" i="5"/>
  <c r="AA16" i="5"/>
  <c r="Z16" i="5"/>
  <c r="Y16" i="5"/>
  <c r="X16" i="5"/>
  <c r="W16" i="5"/>
  <c r="AC15" i="5"/>
  <c r="AB15" i="5"/>
  <c r="AA15" i="5"/>
  <c r="Z15" i="5"/>
  <c r="Y15" i="5"/>
  <c r="X15" i="5"/>
  <c r="W15" i="5"/>
  <c r="AC14" i="5"/>
  <c r="AB14" i="5"/>
  <c r="AA14" i="5"/>
  <c r="Z14" i="5"/>
  <c r="Y14" i="5"/>
  <c r="X14" i="5"/>
  <c r="W14" i="5"/>
  <c r="AC13" i="5"/>
  <c r="AB13" i="5"/>
  <c r="AA13" i="5"/>
  <c r="Z13" i="5"/>
  <c r="Y13" i="5"/>
  <c r="X13" i="5"/>
  <c r="W13" i="5"/>
  <c r="AC12" i="5"/>
  <c r="AB12" i="5"/>
  <c r="AA12" i="5"/>
  <c r="Z12" i="5"/>
  <c r="Y12" i="5"/>
  <c r="X12" i="5"/>
  <c r="W12" i="5"/>
  <c r="AC11" i="5"/>
  <c r="AB11" i="5"/>
  <c r="AA11" i="5"/>
  <c r="Z11" i="5"/>
  <c r="Y11" i="5"/>
  <c r="X11" i="5"/>
  <c r="W11" i="5"/>
  <c r="AC10" i="5"/>
  <c r="AB10" i="5"/>
  <c r="AA10" i="5"/>
  <c r="Z10" i="5"/>
  <c r="Y10" i="5"/>
  <c r="X10" i="5"/>
  <c r="W10" i="5"/>
  <c r="AC9" i="5"/>
  <c r="AB9" i="5"/>
  <c r="AA9" i="5"/>
  <c r="Z9" i="5"/>
  <c r="Y9" i="5"/>
  <c r="X9" i="5"/>
  <c r="W9" i="5"/>
  <c r="AC8" i="5"/>
  <c r="AB8" i="5"/>
  <c r="AA8" i="5"/>
  <c r="Z8" i="5"/>
  <c r="Y8" i="5"/>
  <c r="X8" i="5"/>
  <c r="W8" i="5"/>
  <c r="AC7" i="5"/>
  <c r="AB7" i="5"/>
  <c r="AA7" i="5"/>
  <c r="Z7" i="5"/>
  <c r="Y7" i="5"/>
  <c r="X7" i="5"/>
  <c r="W7" i="5"/>
  <c r="AB6" i="5"/>
  <c r="AA6" i="5"/>
  <c r="Z6" i="5"/>
  <c r="Y6" i="5"/>
  <c r="W6" i="5"/>
  <c r="AC5" i="5"/>
  <c r="AB5" i="5"/>
  <c r="AA5" i="5"/>
  <c r="Z5" i="5"/>
  <c r="Y5" i="5"/>
  <c r="X5" i="5"/>
  <c r="W5" i="5"/>
  <c r="S18" i="5"/>
  <c r="P18" i="5"/>
  <c r="O18" i="5"/>
  <c r="N18" i="5"/>
  <c r="S17" i="5"/>
  <c r="P17" i="5"/>
  <c r="O17" i="5"/>
  <c r="N17" i="5"/>
  <c r="S16" i="5"/>
  <c r="P16" i="5"/>
  <c r="O16" i="5"/>
  <c r="N16" i="5"/>
  <c r="S15" i="5"/>
  <c r="P15" i="5"/>
  <c r="O15" i="5"/>
  <c r="N15" i="5"/>
  <c r="S14" i="5"/>
  <c r="P14" i="5"/>
  <c r="O14" i="5"/>
  <c r="N14" i="5"/>
  <c r="S13" i="5"/>
  <c r="P13" i="5"/>
  <c r="O13" i="5"/>
  <c r="N13" i="5"/>
  <c r="S12" i="5"/>
  <c r="P12" i="5"/>
  <c r="O12" i="5"/>
  <c r="N12" i="5"/>
  <c r="S11" i="5"/>
  <c r="P11" i="5"/>
  <c r="O11" i="5"/>
  <c r="N11" i="5"/>
  <c r="S10" i="5"/>
  <c r="P10" i="5"/>
  <c r="O10" i="5"/>
  <c r="N10" i="5"/>
  <c r="S9" i="5"/>
  <c r="P9" i="5"/>
  <c r="O9" i="5"/>
  <c r="N9" i="5"/>
  <c r="S8" i="5"/>
  <c r="P8" i="5"/>
  <c r="O8" i="5"/>
  <c r="N8" i="5"/>
  <c r="S7" i="5"/>
  <c r="P7" i="5"/>
  <c r="O7" i="5"/>
  <c r="N7" i="5"/>
  <c r="P6" i="5"/>
  <c r="O6" i="5"/>
  <c r="S5" i="5"/>
  <c r="P5" i="5"/>
  <c r="O5" i="5"/>
  <c r="N5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T33" i="5"/>
  <c r="T48" i="5" s="1"/>
  <c r="T53" i="5" s="1"/>
  <c r="C37" i="5"/>
  <c r="I33" i="5"/>
  <c r="I48" i="5" s="1"/>
  <c r="I53" i="5" s="1"/>
  <c r="F20" i="5"/>
  <c r="F21" i="5" s="1"/>
  <c r="G20" i="5"/>
  <c r="G21" i="5" s="1"/>
  <c r="H33" i="5"/>
  <c r="H48" i="5" s="1"/>
  <c r="H53" i="5" s="1"/>
  <c r="G33" i="5"/>
  <c r="G48" i="5" s="1"/>
  <c r="G53" i="5" s="1"/>
  <c r="F33" i="5"/>
  <c r="F48" i="5" s="1"/>
  <c r="F53" i="5" s="1"/>
  <c r="E33" i="5"/>
  <c r="E48" i="5" s="1"/>
  <c r="E53" i="5" s="1"/>
  <c r="D33" i="5"/>
  <c r="D48" i="5" s="1"/>
  <c r="D53" i="5" s="1"/>
  <c r="C33" i="5"/>
  <c r="C48" i="5" s="1"/>
  <c r="C53" i="5" s="1"/>
  <c r="E20" i="5"/>
  <c r="C20" i="5"/>
  <c r="C21" i="5" s="1"/>
  <c r="AD40" i="5" l="1"/>
  <c r="AD42" i="5" s="1"/>
  <c r="AD49" i="5" s="1"/>
  <c r="N24" i="7"/>
  <c r="B39" i="7" s="1"/>
  <c r="K27" i="7"/>
  <c r="M30" i="7"/>
  <c r="F27" i="7"/>
  <c r="C27" i="7"/>
  <c r="H27" i="7"/>
  <c r="E27" i="7"/>
  <c r="B30" i="7"/>
  <c r="B32" i="7"/>
  <c r="D27" i="7"/>
  <c r="I27" i="7"/>
  <c r="K28" i="7"/>
  <c r="C28" i="7"/>
  <c r="H28" i="7"/>
  <c r="F51" i="7"/>
  <c r="J51" i="7" s="1"/>
  <c r="J52" i="7" s="1"/>
  <c r="B28" i="7"/>
  <c r="J28" i="7"/>
  <c r="G28" i="7"/>
  <c r="H26" i="7"/>
  <c r="M28" i="7"/>
  <c r="E28" i="7"/>
  <c r="I28" i="7"/>
  <c r="C26" i="7"/>
  <c r="E31" i="7"/>
  <c r="B52" i="7"/>
  <c r="B53" i="7" s="1"/>
  <c r="J31" i="7"/>
  <c r="G31" i="7"/>
  <c r="F26" i="7"/>
  <c r="K26" i="7"/>
  <c r="M32" i="7"/>
  <c r="D31" i="7"/>
  <c r="I31" i="7"/>
  <c r="F31" i="7"/>
  <c r="J26" i="7"/>
  <c r="G26" i="7"/>
  <c r="D26" i="7"/>
  <c r="N23" i="7"/>
  <c r="N18" i="7"/>
  <c r="M19" i="7"/>
  <c r="M34" i="7" s="1"/>
  <c r="K19" i="7"/>
  <c r="K34" i="7" s="1"/>
  <c r="I19" i="7"/>
  <c r="I29" i="7" s="1"/>
  <c r="G19" i="7"/>
  <c r="G32" i="7" s="1"/>
  <c r="E19" i="7"/>
  <c r="E30" i="7" s="1"/>
  <c r="C19" i="7"/>
  <c r="C34" i="7" s="1"/>
  <c r="L19" i="7"/>
  <c r="J19" i="7"/>
  <c r="J29" i="7" s="1"/>
  <c r="H19" i="7"/>
  <c r="H29" i="7" s="1"/>
  <c r="F19" i="7"/>
  <c r="F29" i="7" s="1"/>
  <c r="D19" i="7"/>
  <c r="D29" i="7" s="1"/>
  <c r="B19" i="7"/>
  <c r="B34" i="7" s="1"/>
  <c r="T42" i="5"/>
  <c r="T49" i="5" s="1"/>
  <c r="T54" i="5" s="1"/>
  <c r="T21" i="5"/>
  <c r="T22" i="5" s="1"/>
  <c r="T23" i="5" s="1"/>
  <c r="T24" i="5" s="1"/>
  <c r="T47" i="5" s="1"/>
  <c r="T52" i="5" s="1"/>
  <c r="J23" i="5"/>
  <c r="J24" i="5" s="1"/>
  <c r="J47" i="5" s="1"/>
  <c r="J52" i="5" s="1"/>
  <c r="J56" i="5" s="1"/>
  <c r="C12" i="10" s="1"/>
  <c r="O20" i="5"/>
  <c r="AB20" i="5"/>
  <c r="AB21" i="5" s="1"/>
  <c r="P20" i="5"/>
  <c r="P21" i="5" s="1"/>
  <c r="N6" i="5"/>
  <c r="G37" i="5"/>
  <c r="AA37" i="5" s="1"/>
  <c r="I37" i="5"/>
  <c r="H37" i="5"/>
  <c r="H20" i="5"/>
  <c r="H21" i="5" s="1"/>
  <c r="I20" i="5"/>
  <c r="I21" i="5" s="1"/>
  <c r="X6" i="5"/>
  <c r="X20" i="5" s="1"/>
  <c r="X21" i="5" s="1"/>
  <c r="G36" i="5"/>
  <c r="I36" i="5"/>
  <c r="H36" i="5"/>
  <c r="AB36" i="5" s="1"/>
  <c r="N20" i="5"/>
  <c r="N21" i="5" s="1"/>
  <c r="S6" i="5"/>
  <c r="S20" i="5" s="1"/>
  <c r="S21" i="5" s="1"/>
  <c r="S22" i="5" s="1"/>
  <c r="S23" i="5" s="1"/>
  <c r="Q20" i="5"/>
  <c r="Q21" i="5" s="1"/>
  <c r="Z20" i="5"/>
  <c r="Z21" i="5" s="1"/>
  <c r="Y20" i="5"/>
  <c r="Y21" i="5" s="1"/>
  <c r="Y22" i="5" s="1"/>
  <c r="Y23" i="5" s="1"/>
  <c r="AA20" i="5"/>
  <c r="AA21" i="5" s="1"/>
  <c r="AC20" i="5"/>
  <c r="AC21" i="5" s="1"/>
  <c r="AC22" i="5" s="1"/>
  <c r="AC23" i="5" s="1"/>
  <c r="W20" i="5"/>
  <c r="W21" i="5" s="1"/>
  <c r="W37" i="5"/>
  <c r="W36" i="5"/>
  <c r="M36" i="5"/>
  <c r="M37" i="5"/>
  <c r="M20" i="5"/>
  <c r="M21" i="5" s="1"/>
  <c r="F37" i="5"/>
  <c r="E37" i="5"/>
  <c r="D36" i="5"/>
  <c r="D37" i="5"/>
  <c r="Q33" i="5"/>
  <c r="Q48" i="5" s="1"/>
  <c r="Q53" i="5" s="1"/>
  <c r="N33" i="5"/>
  <c r="N48" i="5" s="1"/>
  <c r="N53" i="5" s="1"/>
  <c r="R33" i="5"/>
  <c r="R48" i="5" s="1"/>
  <c r="R53" i="5" s="1"/>
  <c r="AC33" i="5"/>
  <c r="AC48" i="5" s="1"/>
  <c r="AC53" i="5" s="1"/>
  <c r="AA33" i="5"/>
  <c r="AA48" i="5" s="1"/>
  <c r="AA53" i="5" s="1"/>
  <c r="Y33" i="5"/>
  <c r="Y48" i="5" s="1"/>
  <c r="Y53" i="5" s="1"/>
  <c r="W33" i="5"/>
  <c r="W48" i="5" s="1"/>
  <c r="W53" i="5" s="1"/>
  <c r="AB33" i="5"/>
  <c r="AB48" i="5" s="1"/>
  <c r="AB53" i="5" s="1"/>
  <c r="Z33" i="5"/>
  <c r="Z48" i="5" s="1"/>
  <c r="Z53" i="5" s="1"/>
  <c r="X33" i="5"/>
  <c r="X48" i="5" s="1"/>
  <c r="X53" i="5" s="1"/>
  <c r="P22" i="5"/>
  <c r="P24" i="5" s="1"/>
  <c r="P47" i="5" s="1"/>
  <c r="P52" i="5" s="1"/>
  <c r="C38" i="5"/>
  <c r="O21" i="5"/>
  <c r="O22" i="5" s="1"/>
  <c r="O23" i="5" s="1"/>
  <c r="E36" i="5"/>
  <c r="F36" i="5"/>
  <c r="P33" i="5"/>
  <c r="P48" i="5" s="1"/>
  <c r="P53" i="5" s="1"/>
  <c r="M33" i="5"/>
  <c r="M48" i="5" s="1"/>
  <c r="M53" i="5" s="1"/>
  <c r="O33" i="5"/>
  <c r="O48" i="5" s="1"/>
  <c r="O53" i="5" s="1"/>
  <c r="S33" i="5"/>
  <c r="S48" i="5" s="1"/>
  <c r="S53" i="5" s="1"/>
  <c r="R22" i="5"/>
  <c r="G22" i="5"/>
  <c r="G23" i="5" s="1"/>
  <c r="F22" i="5"/>
  <c r="F24" i="5" s="1"/>
  <c r="F47" i="5" s="1"/>
  <c r="F52" i="5" s="1"/>
  <c r="E21" i="5"/>
  <c r="E22" i="5" s="1"/>
  <c r="E23" i="5" s="1"/>
  <c r="D21" i="5"/>
  <c r="D22" i="5" s="1"/>
  <c r="D23" i="5" s="1"/>
  <c r="C22" i="5"/>
  <c r="C24" i="5" s="1"/>
  <c r="C47" i="5" s="1"/>
  <c r="C52" i="5" s="1"/>
  <c r="Q37" i="5" l="1"/>
  <c r="R36" i="5"/>
  <c r="N26" i="7"/>
  <c r="N28" i="7"/>
  <c r="N27" i="7"/>
  <c r="B45" i="7"/>
  <c r="C30" i="7"/>
  <c r="J30" i="7"/>
  <c r="L34" i="7"/>
  <c r="L30" i="7"/>
  <c r="D30" i="7"/>
  <c r="H30" i="7"/>
  <c r="K30" i="7"/>
  <c r="F30" i="7"/>
  <c r="I30" i="7"/>
  <c r="G30" i="7"/>
  <c r="D34" i="7"/>
  <c r="G34" i="7"/>
  <c r="E29" i="7"/>
  <c r="E34" i="7"/>
  <c r="H34" i="7"/>
  <c r="I34" i="7"/>
  <c r="F34" i="7"/>
  <c r="J34" i="7"/>
  <c r="N31" i="7"/>
  <c r="B40" i="7" s="1"/>
  <c r="B46" i="7" s="1"/>
  <c r="G29" i="7"/>
  <c r="F32" i="7"/>
  <c r="L29" i="7"/>
  <c r="L32" i="7"/>
  <c r="D32" i="7"/>
  <c r="C29" i="7"/>
  <c r="C32" i="7"/>
  <c r="K29" i="7"/>
  <c r="K32" i="7"/>
  <c r="E32" i="7"/>
  <c r="J32" i="7"/>
  <c r="I32" i="7"/>
  <c r="H32" i="7"/>
  <c r="N19" i="7"/>
  <c r="N29" i="7" s="1"/>
  <c r="M22" i="5"/>
  <c r="M24" i="5" s="1"/>
  <c r="M47" i="5" s="1"/>
  <c r="M52" i="5" s="1"/>
  <c r="Z22" i="5"/>
  <c r="Z24" i="5" s="1"/>
  <c r="Z47" i="5" s="1"/>
  <c r="Z52" i="5" s="1"/>
  <c r="T56" i="5"/>
  <c r="E12" i="10" s="1"/>
  <c r="AD54" i="5"/>
  <c r="AD56" i="5" s="1"/>
  <c r="G12" i="10" s="1"/>
  <c r="I22" i="5"/>
  <c r="I23" i="5" s="1"/>
  <c r="AB22" i="5"/>
  <c r="H22" i="5"/>
  <c r="N22" i="5"/>
  <c r="N23" i="5" s="1"/>
  <c r="X22" i="5"/>
  <c r="X23" i="5" s="1"/>
  <c r="X24" i="5" s="1"/>
  <c r="X47" i="5" s="1"/>
  <c r="X52" i="5" s="1"/>
  <c r="Q22" i="5"/>
  <c r="S36" i="5"/>
  <c r="G24" i="5"/>
  <c r="G47" i="5" s="1"/>
  <c r="G52" i="5" s="1"/>
  <c r="AC36" i="5"/>
  <c r="AA22" i="5"/>
  <c r="W22" i="5"/>
  <c r="W24" i="5" s="1"/>
  <c r="W47" i="5" s="1"/>
  <c r="W52" i="5" s="1"/>
  <c r="AA36" i="5"/>
  <c r="Q36" i="5"/>
  <c r="Y36" i="5"/>
  <c r="O36" i="5"/>
  <c r="C42" i="5"/>
  <c r="C49" i="5" s="1"/>
  <c r="W38" i="5"/>
  <c r="W42" i="5" s="1"/>
  <c r="W49" i="5" s="1"/>
  <c r="W54" i="5" s="1"/>
  <c r="M38" i="5"/>
  <c r="M42" i="5" s="1"/>
  <c r="M49" i="5" s="1"/>
  <c r="AB37" i="5"/>
  <c r="R37" i="5"/>
  <c r="F38" i="5"/>
  <c r="P36" i="5"/>
  <c r="Z36" i="5"/>
  <c r="D39" i="5"/>
  <c r="D42" i="5" s="1"/>
  <c r="D49" i="5" s="1"/>
  <c r="D54" i="5" s="1"/>
  <c r="X37" i="5"/>
  <c r="N37" i="5"/>
  <c r="N36" i="5"/>
  <c r="X36" i="5"/>
  <c r="O37" i="5"/>
  <c r="Y37" i="5"/>
  <c r="F40" i="5"/>
  <c r="Z37" i="5"/>
  <c r="P37" i="5"/>
  <c r="Y24" i="5"/>
  <c r="Y47" i="5" s="1"/>
  <c r="Y52" i="5" s="1"/>
  <c r="O24" i="5"/>
  <c r="O47" i="5" s="1"/>
  <c r="O52" i="5" s="1"/>
  <c r="AC24" i="5"/>
  <c r="AC47" i="5" s="1"/>
  <c r="AC52" i="5" s="1"/>
  <c r="S24" i="5"/>
  <c r="S47" i="5" s="1"/>
  <c r="S52" i="5" s="1"/>
  <c r="E41" i="5"/>
  <c r="E24" i="5"/>
  <c r="E47" i="5" s="1"/>
  <c r="E52" i="5" s="1"/>
  <c r="D24" i="5"/>
  <c r="D47" i="5" s="1"/>
  <c r="D52" i="5" s="1"/>
  <c r="N34" i="7" l="1"/>
  <c r="N30" i="7"/>
  <c r="B42" i="7" s="1"/>
  <c r="B50" i="7"/>
  <c r="N32" i="7"/>
  <c r="B41" i="7" s="1"/>
  <c r="B47" i="7" s="1"/>
  <c r="H40" i="5" s="1"/>
  <c r="I24" i="5"/>
  <c r="I47" i="5" s="1"/>
  <c r="I52" i="5" s="1"/>
  <c r="C54" i="5"/>
  <c r="C56" i="5" s="1"/>
  <c r="C5" i="10" s="1"/>
  <c r="M54" i="5"/>
  <c r="M56" i="5" s="1"/>
  <c r="E5" i="10" s="1"/>
  <c r="H23" i="5"/>
  <c r="R23" i="5" s="1"/>
  <c r="R24" i="5" s="1"/>
  <c r="R47" i="5" s="1"/>
  <c r="R52" i="5" s="1"/>
  <c r="N24" i="5"/>
  <c r="N47" i="5" s="1"/>
  <c r="N52" i="5" s="1"/>
  <c r="AA23" i="5"/>
  <c r="AA24" i="5" s="1"/>
  <c r="AA47" i="5" s="1"/>
  <c r="AA52" i="5" s="1"/>
  <c r="Q23" i="5"/>
  <c r="Q24" i="5" s="1"/>
  <c r="Q47" i="5" s="1"/>
  <c r="Q52" i="5" s="1"/>
  <c r="F42" i="5"/>
  <c r="F49" i="5" s="1"/>
  <c r="W56" i="5"/>
  <c r="G5" i="10" s="1"/>
  <c r="R38" i="5"/>
  <c r="AB38" i="5"/>
  <c r="P40" i="5"/>
  <c r="Z40" i="5"/>
  <c r="P38" i="5"/>
  <c r="Z38" i="5"/>
  <c r="Z42" i="5" s="1"/>
  <c r="Z49" i="5" s="1"/>
  <c r="E42" i="5"/>
  <c r="E49" i="5" s="1"/>
  <c r="O41" i="5"/>
  <c r="O42" i="5" s="1"/>
  <c r="O49" i="5" s="1"/>
  <c r="Y41" i="5"/>
  <c r="Y42" i="5" s="1"/>
  <c r="Y49" i="5" s="1"/>
  <c r="X39" i="5"/>
  <c r="X42" i="5" s="1"/>
  <c r="X49" i="5" s="1"/>
  <c r="N39" i="5"/>
  <c r="N42" i="5" s="1"/>
  <c r="N49" i="5" s="1"/>
  <c r="N54" i="5" s="1"/>
  <c r="S37" i="5"/>
  <c r="AC37" i="5"/>
  <c r="AA38" i="5"/>
  <c r="Q38" i="5"/>
  <c r="D56" i="5"/>
  <c r="C6" i="10" s="1"/>
  <c r="H39" i="5" l="1"/>
  <c r="AB40" i="5"/>
  <c r="R40" i="5"/>
  <c r="E42" i="7"/>
  <c r="B48" i="7"/>
  <c r="I40" i="5"/>
  <c r="I39" i="5" s="1"/>
  <c r="S39" i="5" s="1"/>
  <c r="G40" i="5"/>
  <c r="E54" i="5"/>
  <c r="E56" i="5" s="1"/>
  <c r="C7" i="10" s="1"/>
  <c r="F54" i="5"/>
  <c r="F56" i="5" s="1"/>
  <c r="C8" i="10" s="1"/>
  <c r="Y54" i="5"/>
  <c r="Y56" i="5" s="1"/>
  <c r="G7" i="10" s="1"/>
  <c r="X54" i="5"/>
  <c r="X56" i="5" s="1"/>
  <c r="G6" i="10" s="1"/>
  <c r="O54" i="5"/>
  <c r="O56" i="5" s="1"/>
  <c r="E7" i="10" s="1"/>
  <c r="Z54" i="5"/>
  <c r="Z56" i="5" s="1"/>
  <c r="G8" i="10" s="1"/>
  <c r="N56" i="5"/>
  <c r="E6" i="10" s="1"/>
  <c r="H24" i="5"/>
  <c r="H47" i="5" s="1"/>
  <c r="H52" i="5" s="1"/>
  <c r="AB23" i="5"/>
  <c r="AB24" i="5" s="1"/>
  <c r="AB47" i="5" s="1"/>
  <c r="AB52" i="5" s="1"/>
  <c r="P42" i="5"/>
  <c r="P49" i="5" s="1"/>
  <c r="S40" i="5" l="1"/>
  <c r="AC39" i="5"/>
  <c r="I42" i="5"/>
  <c r="I49" i="5" s="1"/>
  <c r="I54" i="5" s="1"/>
  <c r="I56" i="5" s="1"/>
  <c r="C11" i="10" s="1"/>
  <c r="AC40" i="5"/>
  <c r="G39" i="5"/>
  <c r="Q40" i="5"/>
  <c r="AA40" i="5"/>
  <c r="H42" i="5"/>
  <c r="H49" i="5" s="1"/>
  <c r="H54" i="5" s="1"/>
  <c r="H56" i="5" s="1"/>
  <c r="C10" i="10" s="1"/>
  <c r="R39" i="5"/>
  <c r="R42" i="5"/>
  <c r="R49" i="5" s="1"/>
  <c r="R54" i="5" s="1"/>
  <c r="R56" i="5" s="1"/>
  <c r="E10" i="10" s="1"/>
  <c r="AB39" i="5"/>
  <c r="AB42" i="5" s="1"/>
  <c r="AB49" i="5" s="1"/>
  <c r="AB54" i="5" s="1"/>
  <c r="AB56" i="5" s="1"/>
  <c r="G10" i="10" s="1"/>
  <c r="P54" i="5"/>
  <c r="P56" i="5" s="1"/>
  <c r="E8" i="10" s="1"/>
  <c r="S42" i="5"/>
  <c r="S49" i="5" s="1"/>
  <c r="AC42" i="5" l="1"/>
  <c r="AC49" i="5" s="1"/>
  <c r="Q39" i="5"/>
  <c r="G42" i="5"/>
  <c r="G49" i="5" s="1"/>
  <c r="G54" i="5" s="1"/>
  <c r="G56" i="5" s="1"/>
  <c r="C9" i="10" s="1"/>
  <c r="D10" i="10" s="1"/>
  <c r="Q42" i="5"/>
  <c r="Q49" i="5" s="1"/>
  <c r="Q54" i="5" s="1"/>
  <c r="Q56" i="5" s="1"/>
  <c r="E9" i="10" s="1"/>
  <c r="AA39" i="5"/>
  <c r="AA42" i="5" s="1"/>
  <c r="AA49" i="5" s="1"/>
  <c r="AA54" i="5" s="1"/>
  <c r="AA56" i="5" s="1"/>
  <c r="G9" i="10" s="1"/>
  <c r="S54" i="5"/>
  <c r="S56" i="5" s="1"/>
  <c r="E11" i="10" s="1"/>
  <c r="AC54" i="5"/>
  <c r="AC56" i="5" s="1"/>
  <c r="G11" i="10" s="1"/>
  <c r="H11" i="10" l="1"/>
  <c r="F11" i="10"/>
  <c r="D11" i="10"/>
  <c r="F9" i="10"/>
  <c r="F5" i="10"/>
  <c r="F12" i="10"/>
  <c r="F8" i="10"/>
  <c r="F7" i="10"/>
  <c r="F6" i="10"/>
  <c r="H9" i="10"/>
  <c r="H6" i="10"/>
  <c r="H5" i="10"/>
  <c r="H12" i="10"/>
  <c r="H8" i="10"/>
  <c r="H7" i="10"/>
  <c r="D9" i="10"/>
  <c r="D8" i="10"/>
  <c r="D7" i="10"/>
  <c r="D6" i="10"/>
  <c r="D5" i="10"/>
  <c r="D12" i="10"/>
  <c r="H10" i="10"/>
  <c r="F1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hjw</author>
  </authors>
  <commentList>
    <comment ref="B7" authorId="0" shapeId="0" xr:uid="{4D2F99E2-2BFC-4607-B16D-C066F0F0C9D5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Grundgebühr beachten. Muss mit in den Gaspreis eingerechnet werden
</t>
        </r>
      </text>
    </comment>
    <comment ref="C14" authorId="0" shapeId="0" xr:uid="{9A4C5C12-6A89-4288-8779-7FB2AD27FBFF}">
      <text>
        <r>
          <rPr>
            <b/>
            <sz val="9"/>
            <color indexed="81"/>
            <rFont val="Segoe UI"/>
            <charset val="1"/>
          </rPr>
          <t>hjw:</t>
        </r>
        <r>
          <rPr>
            <sz val="9"/>
            <color indexed="81"/>
            <rFont val="Segoe UI"/>
            <charset val="1"/>
          </rPr>
          <t xml:space="preserve">
Achtung: Hier nicht 0 eintragen, weil dann einige Formeln keinen Wert zurückliefern. Wenn WW z.B. mit einem Durchlauferhitzer bereit gestellt wird, dann 1 eintragen.</t>
        </r>
      </text>
    </comment>
    <comment ref="B21" authorId="0" shapeId="0" xr:uid="{72687B0B-3EF3-4155-A26E-68B856238E8A}">
      <text>
        <r>
          <rPr>
            <b/>
            <sz val="9"/>
            <color indexed="81"/>
            <rFont val="Segoe UI"/>
            <charset val="1"/>
          </rPr>
          <t>hjw:</t>
        </r>
        <r>
          <rPr>
            <sz val="9"/>
            <color indexed="81"/>
            <rFont val="Segoe UI"/>
            <charset val="1"/>
          </rPr>
          <t xml:space="preserve">
Bei einer Heizkörperheizung und einem wenig gedämmten Haus auf 3 setzen, Heizkörker und gut gedämmt 3,3, Fußbodenheizung 3,5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hjw</author>
  </authors>
  <commentList>
    <comment ref="G6" authorId="0" shapeId="0" xr:uid="{A2519D4F-20D9-4792-9055-B60C23DE4F27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Zuschlag zur Wärmepumpe für den Eisspeicher 10.000€ und die Zusatzkosten für die Twin-Anlage 20%. Bei Twin-Anlage PV-Leistung beachten.
</t>
        </r>
      </text>
    </comment>
    <comment ref="H6" authorId="0" shapeId="0" xr:uid="{81FD954C-EC05-49A1-BEBB-0436F7CC3924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Zusatzkosten für Tiefenbohrung von 10.000€ angenommen.</t>
        </r>
      </text>
    </comment>
    <comment ref="J6" authorId="0" shapeId="0" xr:uid="{94D13C97-AB9E-4504-A709-C754F50610FE}">
      <text>
        <r>
          <rPr>
            <b/>
            <sz val="9"/>
            <color indexed="81"/>
            <rFont val="Segoe UI"/>
            <charset val="1"/>
          </rPr>
          <t>hjw:</t>
        </r>
        <r>
          <rPr>
            <sz val="9"/>
            <color indexed="81"/>
            <rFont val="Segoe UI"/>
            <charset val="1"/>
          </rPr>
          <t xml:space="preserve">
1200€ pro kW</t>
        </r>
      </text>
    </comment>
    <comment ref="G36" authorId="0" shapeId="0" xr:uid="{1A87F7FF-189D-4D7D-95A9-113F9F64F802}">
      <text>
        <r>
          <rPr>
            <b/>
            <sz val="9"/>
            <color indexed="81"/>
            <rFont val="Segoe UI"/>
            <charset val="1"/>
          </rPr>
          <t>hjw:</t>
        </r>
        <r>
          <rPr>
            <sz val="9"/>
            <color indexed="81"/>
            <rFont val="Segoe UI"/>
            <charset val="1"/>
          </rPr>
          <t xml:space="preserve">
JAZ um 1 besser als bei einer Luft WP
</t>
        </r>
      </text>
    </comment>
    <comment ref="H36" authorId="0" shapeId="0" xr:uid="{D5299A6A-A9E2-4329-8437-3BFC99230DF8}">
      <text>
        <r>
          <rPr>
            <b/>
            <sz val="9"/>
            <color indexed="81"/>
            <rFont val="Segoe UI"/>
            <charset val="1"/>
          </rPr>
          <t>hjw:</t>
        </r>
        <r>
          <rPr>
            <sz val="9"/>
            <color indexed="81"/>
            <rFont val="Segoe UI"/>
            <charset val="1"/>
          </rPr>
          <t xml:space="preserve">
JAZ um 0,7 besser als bei einer Luft-WP</t>
        </r>
      </text>
    </comment>
    <comment ref="J40" authorId="0" shapeId="0" xr:uid="{66630B80-4B05-42B4-9473-31ACD9D879CD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Annahme optimistisch 33% PV-Strom</t>
        </r>
      </text>
    </comment>
  </commentList>
</comments>
</file>

<file path=xl/sharedStrings.xml><?xml version="1.0" encoding="utf-8"?>
<sst xmlns="http://schemas.openxmlformats.org/spreadsheetml/2006/main" count="340" uniqueCount="225">
  <si>
    <t>Gas</t>
  </si>
  <si>
    <t>Pellets</t>
  </si>
  <si>
    <t>kWh</t>
  </si>
  <si>
    <t>Gasanschluss</t>
  </si>
  <si>
    <t>Demontage alte Anlage /Entsorgung</t>
  </si>
  <si>
    <t>Kessel mit Montage</t>
  </si>
  <si>
    <t>Schornsteinsanierung</t>
  </si>
  <si>
    <t>Frischwasserstation</t>
  </si>
  <si>
    <t xml:space="preserve">Heizkreisstation, Zirkulation, Montagematerial    </t>
  </si>
  <si>
    <t>Hydraulischer Abgleich mit Berechnung</t>
  </si>
  <si>
    <t>Pelletlager</t>
  </si>
  <si>
    <t>Summe Netto</t>
  </si>
  <si>
    <t>USt</t>
  </si>
  <si>
    <t>Summe Brutto</t>
  </si>
  <si>
    <t>Kosten</t>
  </si>
  <si>
    <t>Laufende Kosten (grob)</t>
  </si>
  <si>
    <t>Schornsteinfeger</t>
  </si>
  <si>
    <t>Versicherung/Überwachung</t>
  </si>
  <si>
    <t>Verbrauchsgebunden Kosten</t>
  </si>
  <si>
    <t>Gas-Brennwert</t>
  </si>
  <si>
    <t>Luft-Wärmepumpe</t>
  </si>
  <si>
    <t>Elektroinstallation</t>
  </si>
  <si>
    <t>Schornsteinfeger Abnahme</t>
  </si>
  <si>
    <t>Wartung in €/a</t>
  </si>
  <si>
    <t>Hilfsenergie (1.000kWh * 30Cent/kWh)</t>
  </si>
  <si>
    <t>Pufferspeicher/ WW-Speicher</t>
  </si>
  <si>
    <t>Trinkwasserwärmepumpe mit Montage</t>
  </si>
  <si>
    <t xml:space="preserve">Heizstab mit PV-Regelung mit Montage </t>
  </si>
  <si>
    <t>Gas-Brennwert mit PV-Heizstab</t>
  </si>
  <si>
    <t>Gas-Brennwert mit TW-WP</t>
  </si>
  <si>
    <t>Gas-Brennwert mit th. Solaranlage</t>
  </si>
  <si>
    <t>thermische Solaranlage 2 Module ca. 4m²</t>
  </si>
  <si>
    <t>Endenergieverbrauch [kWh/a] Heizung</t>
  </si>
  <si>
    <t>Endenergieverbrauch WW (2 Personen)</t>
  </si>
  <si>
    <t>Strom aus dem Netz</t>
  </si>
  <si>
    <t>PV-Strom</t>
  </si>
  <si>
    <t>Invest</t>
  </si>
  <si>
    <t>Kosten in €/a</t>
  </si>
  <si>
    <t>Kosten €/a</t>
  </si>
  <si>
    <t>Laufende Betriebskosten pro Jahr</t>
  </si>
  <si>
    <t>Energiekosten pro Jahr</t>
  </si>
  <si>
    <t>Luft-Wärmepumpe mit PV-Anlage</t>
  </si>
  <si>
    <t>Statisch</t>
  </si>
  <si>
    <t>mit 2% Preissteigerung</t>
  </si>
  <si>
    <t>mit 4% Preissteigerung</t>
  </si>
  <si>
    <t>Luft-Wärmepumpe mit JAZ = 3</t>
  </si>
  <si>
    <t>Preiserhöhung 2% p.a.</t>
  </si>
  <si>
    <t>Preiserhöhung 4% p.a.</t>
  </si>
  <si>
    <t>Gaspreis [€/kWh]</t>
  </si>
  <si>
    <t>Strompreis [€/kWh]</t>
  </si>
  <si>
    <t>Pelletpreis [€/kWh]</t>
  </si>
  <si>
    <t>PV-Strom [€/kWh]</t>
  </si>
  <si>
    <t>Heizenergiebedarf [kWh]</t>
  </si>
  <si>
    <t>%</t>
  </si>
  <si>
    <t>Förderung ca.</t>
  </si>
  <si>
    <t>Anschaffungskosten</t>
  </si>
  <si>
    <t>Laufende Kosten €/a</t>
  </si>
  <si>
    <t>verbrauchsgebundene Kosten in €/a</t>
  </si>
  <si>
    <t>Zusammenfassung</t>
  </si>
  <si>
    <t>Anschaffungskosten/Invest</t>
  </si>
  <si>
    <t>verbrauchsgebundene Energiekosten pro Jahr</t>
  </si>
  <si>
    <t xml:space="preserve">Endenergieverbrauch WW </t>
  </si>
  <si>
    <t>Förderung Biomasse max.</t>
  </si>
  <si>
    <t>€/kWh</t>
  </si>
  <si>
    <t xml:space="preserve">Förderung Wärmepumpe </t>
  </si>
  <si>
    <t>Förderung Heizungsoptimierung</t>
  </si>
  <si>
    <t>Vorlauftemperatur</t>
  </si>
  <si>
    <t>°C</t>
  </si>
  <si>
    <t>Preis WP</t>
  </si>
  <si>
    <t>&lt;8kW</t>
  </si>
  <si>
    <t>&lt;12kW</t>
  </si>
  <si>
    <t>&lt;14kW</t>
  </si>
  <si>
    <t>&lt;20kW</t>
  </si>
  <si>
    <t>&gt;=20kW</t>
  </si>
  <si>
    <t>Berechneter Preis</t>
  </si>
  <si>
    <t>Sole-Wärmepumpe mit Tiefenbohrung und PV-Anlage</t>
  </si>
  <si>
    <t>Sole-Wärmepumpe mit Eisspeicher und Twin-PV-Anlage</t>
  </si>
  <si>
    <t>Kosten Gaszähler</t>
  </si>
  <si>
    <t>Warmwasserenergiebedarf (800kWh/Person)</t>
  </si>
  <si>
    <t>kW</t>
  </si>
  <si>
    <t>Betrachtungszeitraum</t>
  </si>
  <si>
    <t>Jahre</t>
  </si>
  <si>
    <t xml:space="preserve">Kosten über den Betrachtungszeitraum </t>
  </si>
  <si>
    <t>Kosten für eine Wärmepumpe</t>
  </si>
  <si>
    <t>Heizungsdiscount brutto</t>
  </si>
  <si>
    <t xml:space="preserve"> - Inneneinheit mit Front aus modernem, bruchfestem weißem Titaniumglas
 - ehpa-Gütesiegel
- Heizen und Kühlen
- mit integrierter Internetschnittstelle
- mit int. PV-Funktionalität
- Warmwasserspeicher 190 l
- Hocheffizienzpumpe
- Elektroheizstab 9 kW
- Sicherheitsgruppe mit Bypass
- Wärmepumpenmanager HMC300
- Integriertes Ausdehnungsgefäß</t>
  </si>
  <si>
    <t>Leistung 11kW + 9kW</t>
  </si>
  <si>
    <t>Bei Fußbodenheizung kein Pufferspeicher notwendig</t>
  </si>
  <si>
    <t>Pumpengruppe mit Mischer</t>
  </si>
  <si>
    <t xml:space="preserve">HD24 Pufferspeicher ohne WT, 200L, 75mm PU-Isolierung </t>
  </si>
  <si>
    <t>ggf. bei Heizkörperheizung</t>
  </si>
  <si>
    <t>Kleinteile</t>
  </si>
  <si>
    <r>
      <t xml:space="preserve">Buderus WLW196i-11 AR T190, Logatherm </t>
    </r>
    <r>
      <rPr>
        <b/>
        <sz val="11"/>
        <color theme="1"/>
        <rFont val="Calibri"/>
        <family val="2"/>
        <scheme val="minor"/>
      </rPr>
      <t>Luft/Wasser Heizungs-Wärmepumpe</t>
    </r>
    <r>
      <rPr>
        <sz val="11"/>
        <color theme="1"/>
        <rFont val="Calibri"/>
        <family val="2"/>
        <scheme val="minor"/>
      </rPr>
      <t>, weiß</t>
    </r>
  </si>
  <si>
    <r>
      <t xml:space="preserve">Buderus WPS 10 K-1, Logatherm </t>
    </r>
    <r>
      <rPr>
        <b/>
        <sz val="11"/>
        <color theme="1"/>
        <rFont val="Calibri"/>
        <family val="2"/>
        <scheme val="minor"/>
      </rPr>
      <t>Sole/Wasser Heizungs-Wärmepumpe</t>
    </r>
  </si>
  <si>
    <t>Leistung10kW+9kW</t>
  </si>
  <si>
    <t xml:space="preserve"> - ehpa-Gütesiegel
- Integrierter Warmwasserspeicher 185 l
- Integrierte Fremdstromanode
- Regelung mit Klartextmenü HMC 10-1
- Vorlauffühler
- Außenfühler
- Schmutzfilter
- Schnellentlüfter
- Hocheffizienz-Heizungspumpe
- Hocheffizienz-Solepumpe
- Elektrischer Zuheizer 9 kW
- Umschaltventil
- Sanftanlasser (außer WPS 6 K-1)
- Integrierte Wärmemengenzählung</t>
  </si>
  <si>
    <t>Wärmequelle</t>
  </si>
  <si>
    <t>Energiekorb</t>
  </si>
  <si>
    <t>Energiezaun</t>
  </si>
  <si>
    <t>Meter</t>
  </si>
  <si>
    <t xml:space="preserve">Bohrung etwa </t>
  </si>
  <si>
    <t>Flächenkolektor etwa</t>
  </si>
  <si>
    <t>lfm</t>
  </si>
  <si>
    <t>bei 10kW</t>
  </si>
  <si>
    <t>Viessmann Vitocal 151-A Wärmepumpen-Kompaktgerät 11,1 kW, AWOT-E-AC 151.A13 400</t>
  </si>
  <si>
    <t>LG Therma V Set-Monobloc R290 Luft-Wasser-Wärmepumpe, HM123HF MB, 400V, 12 kW</t>
  </si>
  <si>
    <t>Wärmepumpe mit Propan (Beispiele)</t>
  </si>
  <si>
    <t>Bosch Compress Luft-Wasser-Wärmepumpe, Monoblock-Außeneinheit AW 10 OR-T
Bosch-Art.Nr.: 8738213467 | EAN: 4062321723200</t>
  </si>
  <si>
    <t>Beim Einsatz einer Wärmepumpe wird Strom eingesetzt</t>
  </si>
  <si>
    <t>Bei der Nutzung von eigenem Solarstrom passt die Erzeugung (Sommer) nicht zum Verbrauch (Winter)</t>
  </si>
  <si>
    <t>Hier wird mit ausreichender Genauigkeit simuliert, wieviel Solarstrom für die Wärmeerzeugung genutzt werden kann</t>
  </si>
  <si>
    <t>Stromverbrauch im Haushalt</t>
  </si>
  <si>
    <t>Stromverbrauch der Wärmepumpe für Warmwasser</t>
  </si>
  <si>
    <t>Stromverbrauch der Wärmepumpe für Heizung</t>
  </si>
  <si>
    <t>Zeitreihen</t>
  </si>
  <si>
    <t>Heizung</t>
  </si>
  <si>
    <t>Mär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</si>
  <si>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</si>
  <si>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</si>
  <si>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</si>
  <si>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</si>
  <si>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</si>
  <si>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</si>
  <si>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</si>
  <si>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</si>
  <si>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</si>
  <si>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Gesamt</t>
  </si>
  <si>
    <t>Jan</t>
  </si>
  <si>
    <t>Feb</t>
  </si>
  <si>
    <t>Verbrauch Haushaltsstrom</t>
  </si>
  <si>
    <t>Verbrauch Warmwasser</t>
  </si>
  <si>
    <t>Verbrauch Heizung</t>
  </si>
  <si>
    <t>langjähriges Mittel (20 Jahre)*</t>
  </si>
  <si>
    <t>Außen-</t>
  </si>
  <si>
    <t>Außentemp.</t>
  </si>
  <si>
    <t>temperatur</t>
  </si>
  <si>
    <t>[Kd]</t>
  </si>
  <si>
    <t>[d]</t>
  </si>
  <si>
    <t>[°C]</t>
  </si>
  <si>
    <t>Gradtagzahl</t>
  </si>
  <si>
    <t>GTZ 20/15</t>
  </si>
  <si>
    <t>Heiztage</t>
  </si>
  <si>
    <t>an Heiztagen</t>
  </si>
  <si>
    <t>Erzeugung Solarstrom</t>
  </si>
  <si>
    <t>Leistung PV-Anlage</t>
  </si>
  <si>
    <t>kWp</t>
  </si>
  <si>
    <t>Deckungsgrad Haushaltsstrom</t>
  </si>
  <si>
    <t>Deckungsgrad WW</t>
  </si>
  <si>
    <t>Kapazität Batteriespeicher</t>
  </si>
  <si>
    <t>Mrz</t>
  </si>
  <si>
    <t>Gesamtergebnis</t>
  </si>
  <si>
    <t>Summe von Ist-Erzeugung</t>
  </si>
  <si>
    <t>Spezifischer Ertrag/kWp</t>
  </si>
  <si>
    <t>Süd</t>
  </si>
  <si>
    <t>WW</t>
  </si>
  <si>
    <t>Deckungsgrad Heizung</t>
  </si>
  <si>
    <t>Reststrom für WW und Heizung</t>
  </si>
  <si>
    <t>Reststrom für Heizung</t>
  </si>
  <si>
    <t>Angebot für WW max</t>
  </si>
  <si>
    <t>Angebot für Heizung max</t>
  </si>
  <si>
    <t>theoretischer Nutzungsgrad WW</t>
  </si>
  <si>
    <t>theoretischer Nutzungsgrad Heizung</t>
  </si>
  <si>
    <t>Verbrauch gesamt</t>
  </si>
  <si>
    <t>Tagesverbrauch Strom durchschn</t>
  </si>
  <si>
    <t xml:space="preserve">Deckungsgrad durch Speicher </t>
  </si>
  <si>
    <t>Einspeisung</t>
  </si>
  <si>
    <t>Eigenverbrauch</t>
  </si>
  <si>
    <t>Gradtage [Kd] für Heizung 20/15</t>
  </si>
  <si>
    <t>Faktor Verbrauch</t>
  </si>
  <si>
    <t>Faktor Ertrag</t>
  </si>
  <si>
    <t>ideale Speicherkapazität</t>
  </si>
  <si>
    <t>Deckungsanteil Speicher</t>
  </si>
  <si>
    <t>Erzeugung gesamt</t>
  </si>
  <si>
    <t>Nutzung für Haushalt</t>
  </si>
  <si>
    <t>Nutzung für WW</t>
  </si>
  <si>
    <t>Nutzung für Heizung</t>
  </si>
  <si>
    <t>theoretischer Nutzungsgrad Haushaltsstrom</t>
  </si>
  <si>
    <t>theoretischer Gesamtnutzungsgrad</t>
  </si>
  <si>
    <t>realistisch ohne Speicher</t>
  </si>
  <si>
    <t>praktischer Nutzungsgrad mit Speicher</t>
  </si>
  <si>
    <t>Haushalt</t>
  </si>
  <si>
    <t>Wird in der WIR genutzt</t>
  </si>
  <si>
    <t xml:space="preserve">PV-Strom </t>
  </si>
  <si>
    <t>Südwest</t>
  </si>
  <si>
    <t>Südost</t>
  </si>
  <si>
    <t>West</t>
  </si>
  <si>
    <t>Ost</t>
  </si>
  <si>
    <t>Nordwest</t>
  </si>
  <si>
    <t>Nord</t>
  </si>
  <si>
    <t>Nordost</t>
  </si>
  <si>
    <t>kWh/a</t>
  </si>
  <si>
    <t>Infrarotheizung mit PV-Anlage</t>
  </si>
  <si>
    <t>Hier werden wichtige Daten eingegeben</t>
  </si>
  <si>
    <t>Die Daten können jederzeit geändert werden und sollten der individuellen Situation entsprechen</t>
  </si>
  <si>
    <t>Nebenrechnungen, bitte nicht ändern</t>
  </si>
  <si>
    <t>Ausrichtung der PV-Anlage</t>
  </si>
  <si>
    <t>Endenergiebedarf Heizung und Warmwasser</t>
  </si>
  <si>
    <t>JahresArbeitsZahl der Luft-WP</t>
  </si>
  <si>
    <t>Leistung WP grob</t>
  </si>
  <si>
    <t>Leistungsklasse</t>
  </si>
  <si>
    <t>Gasanschluss/Wärmeverteilsystem (Neubau)</t>
  </si>
  <si>
    <t>Kostenzusammenstellung</t>
  </si>
  <si>
    <t>Bei den Investitionen können die individullen Erkenntnisse eingetragen werden</t>
  </si>
  <si>
    <t>Simulation des tatsächlichen Stromverbrauchs für die Wärmepumpe, der von der PV-Anlage genutzt werden kann</t>
  </si>
  <si>
    <t>Berechnung ist etwas grob, aber für die Investitionsentscheidung ausrechend</t>
  </si>
  <si>
    <t>Investitionskosten (Statisch, grob)</t>
  </si>
  <si>
    <t>Investitionskosten (2%Preissteigerung, grob)</t>
  </si>
  <si>
    <t>Investitionskosten (4%Preissteigerung, grob)</t>
  </si>
  <si>
    <t>Gesamtkosten im Betrachtungszeitraum</t>
  </si>
  <si>
    <t>Energiekosten im Betrachtungszeitraum</t>
  </si>
  <si>
    <t>Laufende Betriebskosten im Betrachtungszeitraum</t>
  </si>
  <si>
    <t>Kosten im Betrachtungszeitraum statisch</t>
  </si>
  <si>
    <t>Kosten im Betrachtungszeitraum bei 2% Preisteigerung</t>
  </si>
  <si>
    <t>Betriebskosten</t>
  </si>
  <si>
    <t>Energiekosten</t>
  </si>
  <si>
    <t xml:space="preserve">Energiekosten </t>
  </si>
  <si>
    <t>Kosten im Betrachtungszeitraum bei 4% Preissteigerung</t>
  </si>
  <si>
    <t>Luft-Wärmepumpe ohne PV-Anlage</t>
  </si>
  <si>
    <t>Wenn Formeln in den Zellen sind, dann aufpassen.</t>
  </si>
  <si>
    <t>pro Tonne</t>
  </si>
  <si>
    <t>€/Tonne</t>
  </si>
  <si>
    <t>Haushaltsstrombedarf (1.000kWh/Person)</t>
  </si>
  <si>
    <t>Montage 32h</t>
  </si>
  <si>
    <t>Berechnungen zur Speicherkapazität</t>
  </si>
  <si>
    <t>Speicherkapazität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</si>
</sst>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#,##0.00\ &quot;€&quot;"/>
    <numFmt numFmtId="167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0" fillId="0" borderId="1" xfId="0" applyBorder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/>
    <xf numFmtId="0" fontId="5" fillId="0" borderId="1" xfId="0" applyFont="1" applyBorder="1" applyAlignment="1">
      <alignment vertical="center"/>
    </xf>
    <xf numFmtId="3" fontId="0" fillId="0" borderId="1" xfId="0" applyNumberFormat="1" applyBorder="1"/>
    <xf numFmtId="3" fontId="1" fillId="0" borderId="1" xfId="0" applyNumberFormat="1" applyFont="1" applyBorder="1"/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1" fontId="0" fillId="0" borderId="1" xfId="0" applyNumberFormat="1" applyBorder="1"/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/>
    <xf numFmtId="3" fontId="1" fillId="0" borderId="0" xfId="0" applyNumberFormat="1" applyFont="1"/>
    <xf numFmtId="0" fontId="5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6" fillId="2" borderId="0" xfId="0" applyFont="1" applyFill="1"/>
    <xf numFmtId="14" fontId="0" fillId="0" borderId="0" xfId="0" applyNumberFormat="1"/>
    <xf numFmtId="1" fontId="6" fillId="0" borderId="0" xfId="0" applyNumberFormat="1" applyFont="1"/>
    <xf numFmtId="0" fontId="4" fillId="0" borderId="0" xfId="0" applyFont="1"/>
    <xf numFmtId="3" fontId="4" fillId="0" borderId="0" xfId="0" applyNumberFormat="1" applyFont="1"/>
    <xf numFmtId="3" fontId="4" fillId="0" borderId="1" xfId="0" applyNumberFormat="1" applyFont="1" applyBorder="1"/>
    <xf numFmtId="3" fontId="5" fillId="3" borderId="1" xfId="0" applyNumberFormat="1" applyFont="1" applyFill="1" applyBorder="1"/>
    <xf numFmtId="0" fontId="4" fillId="3" borderId="1" xfId="0" applyFont="1" applyFill="1" applyBorder="1"/>
    <xf numFmtId="3" fontId="4" fillId="2" borderId="0" xfId="0" applyNumberFormat="1" applyFont="1" applyFill="1"/>
    <xf numFmtId="164" fontId="4" fillId="0" borderId="0" xfId="0" applyNumberFormat="1" applyFont="1"/>
    <xf numFmtId="3" fontId="4" fillId="3" borderId="1" xfId="0" applyNumberFormat="1" applyFont="1" applyFill="1" applyBorder="1"/>
    <xf numFmtId="0" fontId="5" fillId="0" borderId="0" xfId="0" applyFont="1"/>
    <xf numFmtId="0" fontId="5" fillId="3" borderId="1" xfId="0" applyFont="1" applyFill="1" applyBorder="1"/>
    <xf numFmtId="3" fontId="5" fillId="0" borderId="0" xfId="0" applyNumberFormat="1" applyFont="1"/>
    <xf numFmtId="164" fontId="4" fillId="2" borderId="0" xfId="0" applyNumberFormat="1" applyFont="1" applyFill="1"/>
    <xf numFmtId="165" fontId="4" fillId="0" borderId="0" xfId="0" applyNumberFormat="1" applyFont="1"/>
    <xf numFmtId="1" fontId="4" fillId="2" borderId="0" xfId="0" applyNumberFormat="1" applyFont="1" applyFill="1"/>
    <xf numFmtId="0" fontId="4" fillId="2" borderId="0" xfId="0" applyFont="1" applyFill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166" fontId="0" fillId="0" borderId="0" xfId="0" applyNumberFormat="1" applyAlignment="1">
      <alignment horizontal="right" vertical="top"/>
    </xf>
    <xf numFmtId="0" fontId="0" fillId="0" borderId="2" xfId="0" applyBorder="1" applyAlignment="1">
      <alignment horizontal="left" vertical="top"/>
    </xf>
    <xf numFmtId="166" fontId="0" fillId="0" borderId="2" xfId="0" applyNumberFormat="1" applyBorder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" fontId="0" fillId="0" borderId="0" xfId="0" applyNumberFormat="1"/>
    <xf numFmtId="0" fontId="0" fillId="4" borderId="0" xfId="0" applyFill="1" applyAlignment="1">
      <alignment horizontal="right"/>
    </xf>
    <xf numFmtId="2" fontId="0" fillId="4" borderId="0" xfId="0" applyNumberFormat="1" applyFill="1"/>
    <xf numFmtId="1" fontId="0" fillId="4" borderId="0" xfId="0" applyNumberFormat="1" applyFill="1"/>
    <xf numFmtId="0" fontId="0" fillId="5" borderId="0" xfId="0" applyFill="1" applyAlignment="1">
      <alignment horizontal="right"/>
    </xf>
    <xf numFmtId="1" fontId="0" fillId="5" borderId="0" xfId="0" applyNumberFormat="1" applyFill="1"/>
    <xf numFmtId="2" fontId="0" fillId="5" borderId="0" xfId="0" applyNumberFormat="1" applyFill="1"/>
    <xf numFmtId="0" fontId="0" fillId="6" borderId="0" xfId="0" applyFill="1" applyAlignment="1">
      <alignment horizontal="right"/>
    </xf>
    <xf numFmtId="1" fontId="0" fillId="6" borderId="0" xfId="0" applyNumberFormat="1" applyFill="1"/>
    <xf numFmtId="2" fontId="0" fillId="6" borderId="0" xfId="0" applyNumberFormat="1" applyFill="1"/>
    <xf numFmtId="0" fontId="0" fillId="6" borderId="0" xfId="0" applyFill="1"/>
    <xf numFmtId="0" fontId="0" fillId="7" borderId="0" xfId="0" applyFill="1"/>
    <xf numFmtId="164" fontId="0" fillId="5" borderId="0" xfId="0" applyNumberFormat="1" applyFill="1"/>
    <xf numFmtId="0" fontId="4" fillId="0" borderId="3" xfId="0" applyFont="1" applyBorder="1"/>
    <xf numFmtId="0" fontId="5" fillId="0" borderId="3" xfId="0" applyFont="1" applyBorder="1" applyAlignment="1">
      <alignment horizontal="center" wrapText="1"/>
    </xf>
    <xf numFmtId="0" fontId="1" fillId="0" borderId="3" xfId="0" applyFont="1" applyBorder="1"/>
    <xf numFmtId="0" fontId="4" fillId="0" borderId="3" xfId="0" applyFont="1" applyBorder="1" applyAlignment="1">
      <alignment vertical="center"/>
    </xf>
    <xf numFmtId="0" fontId="0" fillId="8" borderId="0" xfId="0" applyFill="1"/>
    <xf numFmtId="0" fontId="0" fillId="2" borderId="0" xfId="0" applyFill="1"/>
    <xf numFmtId="0" fontId="6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 wrapText="1"/>
    </xf>
    <xf numFmtId="3" fontId="10" fillId="2" borderId="0" xfId="0" applyNumberFormat="1" applyFont="1" applyFill="1"/>
    <xf numFmtId="0" fontId="10" fillId="0" borderId="0" xfId="0" applyFont="1" applyAlignment="1">
      <alignment horizontal="center"/>
    </xf>
    <xf numFmtId="3" fontId="10" fillId="0" borderId="0" xfId="0" applyNumberFormat="1" applyFont="1"/>
    <xf numFmtId="3" fontId="10" fillId="7" borderId="0" xfId="0" applyNumberFormat="1" applyFont="1" applyFill="1"/>
    <xf numFmtId="3" fontId="10" fillId="8" borderId="0" xfId="0" applyNumberFormat="1" applyFont="1" applyFill="1"/>
    <xf numFmtId="167" fontId="4" fillId="2" borderId="0" xfId="0" applyNumberFormat="1" applyFont="1" applyFill="1"/>
    <xf numFmtId="0" fontId="5" fillId="0" borderId="0" xfId="0" applyFont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3C6F4-691F-4F4D-82C0-3C93DBEE72D7}">
  <dimension ref="A1:M28"/>
  <sheetViews>
    <sheetView tabSelected="1" topLeftCell="B6" workbookViewId="0">
      <selection activeCell="B5" sqref="B5:D25"/>
    </sheetView>
  </sheetViews>
  <sheetFormatPr baseColWidth="10" defaultRowHeight="15" x14ac:dyDescent="0.25"/>
  <cols>
    <col min="1" max="1" width="3.85546875" customWidth="1"/>
    <col min="2" max="2" width="36.7109375" customWidth="1"/>
    <col min="4" max="4" width="7.140625" customWidth="1"/>
    <col min="5" max="5" width="16.140625" customWidth="1"/>
    <col min="6" max="6" width="6.85546875" customWidth="1"/>
    <col min="7" max="7" width="7.85546875" customWidth="1"/>
    <col min="8" max="8" width="15.42578125" customWidth="1"/>
  </cols>
  <sheetData>
    <row r="1" spans="1:11" x14ac:dyDescent="0.25">
      <c r="A1" t="s">
        <v>192</v>
      </c>
    </row>
    <row r="2" spans="1:11" x14ac:dyDescent="0.25">
      <c r="A2" t="s">
        <v>193</v>
      </c>
    </row>
    <row r="3" spans="1:11" x14ac:dyDescent="0.25">
      <c r="A3" t="s">
        <v>218</v>
      </c>
    </row>
    <row r="5" spans="1:11" x14ac:dyDescent="0.25">
      <c r="B5" s="22" t="s">
        <v>80</v>
      </c>
      <c r="C5" s="36">
        <v>20</v>
      </c>
      <c r="D5" s="22" t="s">
        <v>81</v>
      </c>
      <c r="H5" t="s">
        <v>194</v>
      </c>
    </row>
    <row r="6" spans="1:11" x14ac:dyDescent="0.25">
      <c r="B6" s="13"/>
      <c r="C6" s="13"/>
    </row>
    <row r="7" spans="1:11" x14ac:dyDescent="0.25">
      <c r="B7" s="13" t="s">
        <v>48</v>
      </c>
      <c r="C7" s="33">
        <v>0.09</v>
      </c>
      <c r="D7" s="13" t="s">
        <v>63</v>
      </c>
      <c r="H7" s="14" t="s">
        <v>46</v>
      </c>
      <c r="I7" s="14" t="s">
        <v>47</v>
      </c>
      <c r="J7" s="13"/>
      <c r="K7" s="13"/>
    </row>
    <row r="8" spans="1:11" x14ac:dyDescent="0.25">
      <c r="B8" s="13" t="s">
        <v>49</v>
      </c>
      <c r="C8" s="33">
        <v>0.3</v>
      </c>
      <c r="D8" s="13" t="s">
        <v>63</v>
      </c>
      <c r="H8" s="15">
        <f t="shared" ref="H8:I10" si="0">1+((J8-1)/2)</f>
        <v>1.2429736979891772</v>
      </c>
      <c r="I8" s="15">
        <f t="shared" si="0"/>
        <v>1.5955615715167106</v>
      </c>
      <c r="J8" s="15">
        <f>POWER(1.02,C5)</f>
        <v>1.4859473959783542</v>
      </c>
      <c r="K8" s="15">
        <f>POWER(1.04,C5)</f>
        <v>2.1911231430334213</v>
      </c>
    </row>
    <row r="9" spans="1:11" x14ac:dyDescent="0.25">
      <c r="B9" s="13" t="s">
        <v>50</v>
      </c>
      <c r="C9" s="28">
        <f>F9/4800</f>
        <v>5.4166666666666669E-2</v>
      </c>
      <c r="D9" s="13" t="s">
        <v>63</v>
      </c>
      <c r="E9" s="68" t="s">
        <v>219</v>
      </c>
      <c r="F9" s="67">
        <v>260</v>
      </c>
      <c r="G9" s="13" t="s">
        <v>220</v>
      </c>
      <c r="H9" s="15">
        <f t="shared" si="0"/>
        <v>1.2429736979891772</v>
      </c>
      <c r="I9" s="15">
        <f t="shared" si="0"/>
        <v>1.5955615715167106</v>
      </c>
      <c r="J9" s="15">
        <f>POWER(1.02,C5)</f>
        <v>1.4859473959783542</v>
      </c>
      <c r="K9" s="15">
        <f>POWER(1.04,C5)</f>
        <v>2.1911231430334213</v>
      </c>
    </row>
    <row r="10" spans="1:11" x14ac:dyDescent="0.25">
      <c r="B10" s="13" t="s">
        <v>51</v>
      </c>
      <c r="C10" s="33">
        <v>0.11</v>
      </c>
      <c r="D10" s="13" t="s">
        <v>63</v>
      </c>
      <c r="H10" s="15">
        <f t="shared" si="0"/>
        <v>1.2429736979891772</v>
      </c>
      <c r="I10" s="15">
        <f t="shared" si="0"/>
        <v>1.5955615715167106</v>
      </c>
      <c r="J10" s="15">
        <f>POWER(1.02,C5)</f>
        <v>1.4859473959783542</v>
      </c>
      <c r="K10" s="15">
        <f>POWER(1.04,C5)</f>
        <v>2.1911231430334213</v>
      </c>
    </row>
    <row r="11" spans="1:11" x14ac:dyDescent="0.25">
      <c r="B11" s="13"/>
      <c r="D11" s="13"/>
      <c r="H11" s="15">
        <v>0.1</v>
      </c>
      <c r="I11" s="15">
        <v>0.1</v>
      </c>
      <c r="J11" s="15"/>
      <c r="K11" s="15"/>
    </row>
    <row r="12" spans="1:11" x14ac:dyDescent="0.25">
      <c r="B12" s="13" t="s">
        <v>196</v>
      </c>
      <c r="C12" s="27">
        <v>28000</v>
      </c>
      <c r="D12" s="15" t="s">
        <v>2</v>
      </c>
      <c r="G12" s="13"/>
      <c r="J12" s="15"/>
      <c r="K12" s="15"/>
    </row>
    <row r="13" spans="1:11" x14ac:dyDescent="0.25">
      <c r="B13" s="13" t="s">
        <v>52</v>
      </c>
      <c r="C13" s="23">
        <f>C12-C14</f>
        <v>20000</v>
      </c>
      <c r="D13" s="13" t="s">
        <v>2</v>
      </c>
      <c r="E13" s="21"/>
      <c r="F13" s="13"/>
      <c r="G13" s="13"/>
    </row>
    <row r="14" spans="1:11" x14ac:dyDescent="0.25">
      <c r="B14" s="13" t="s">
        <v>78</v>
      </c>
      <c r="C14" s="27">
        <v>8000</v>
      </c>
      <c r="D14" s="13" t="s">
        <v>2</v>
      </c>
      <c r="E14" s="15"/>
      <c r="F14" s="13"/>
      <c r="G14" s="13"/>
    </row>
    <row r="15" spans="1:11" x14ac:dyDescent="0.25">
      <c r="B15" s="13" t="s">
        <v>221</v>
      </c>
      <c r="C15" s="27">
        <v>8000</v>
      </c>
      <c r="D15" s="13" t="s">
        <v>2</v>
      </c>
      <c r="E15" s="15"/>
      <c r="F15" s="13"/>
      <c r="G15" s="13"/>
    </row>
    <row r="16" spans="1:11" x14ac:dyDescent="0.25">
      <c r="B16" s="13"/>
      <c r="D16" s="13"/>
      <c r="E16" s="15"/>
      <c r="F16" s="13"/>
      <c r="G16" s="13"/>
      <c r="H16" t="s">
        <v>198</v>
      </c>
      <c r="I16" s="66">
        <f>(C13+C14)*0.9/1800</f>
        <v>14</v>
      </c>
      <c r="J16" s="66" t="s">
        <v>79</v>
      </c>
    </row>
    <row r="17" spans="2:13" x14ac:dyDescent="0.25">
      <c r="B17" s="13" t="s">
        <v>144</v>
      </c>
      <c r="C17" s="79">
        <v>20</v>
      </c>
      <c r="D17" s="13" t="s">
        <v>145</v>
      </c>
      <c r="H17" t="s">
        <v>199</v>
      </c>
      <c r="I17" t="s">
        <v>69</v>
      </c>
      <c r="J17" t="s">
        <v>70</v>
      </c>
      <c r="K17" t="s">
        <v>71</v>
      </c>
      <c r="L17" t="s">
        <v>72</v>
      </c>
      <c r="M17" t="s">
        <v>73</v>
      </c>
    </row>
    <row r="18" spans="2:13" x14ac:dyDescent="0.25">
      <c r="B18" s="13" t="s">
        <v>148</v>
      </c>
      <c r="C18" s="27">
        <v>0</v>
      </c>
      <c r="D18" s="13" t="s">
        <v>2</v>
      </c>
      <c r="E18" s="15"/>
      <c r="F18" s="13"/>
      <c r="G18" s="13"/>
      <c r="H18" t="s">
        <v>68</v>
      </c>
      <c r="I18" s="5">
        <v>12000</v>
      </c>
      <c r="J18" s="5">
        <v>15000</v>
      </c>
      <c r="K18" s="5">
        <v>17000</v>
      </c>
      <c r="L18" s="5">
        <v>19000</v>
      </c>
      <c r="M18" s="5">
        <v>20000</v>
      </c>
    </row>
    <row r="19" spans="2:13" x14ac:dyDescent="0.25">
      <c r="B19" s="15" t="s">
        <v>195</v>
      </c>
      <c r="C19" s="19" t="s">
        <v>153</v>
      </c>
      <c r="E19" s="13" t="s">
        <v>152</v>
      </c>
      <c r="F19">
        <f ca="1">SUMIF(Tabelle2!A1:B8,C19,Tabelle2!B1:B8)</f>
        <v>950</v>
      </c>
      <c r="G19" t="s">
        <v>190</v>
      </c>
      <c r="H19" t="s">
        <v>222</v>
      </c>
      <c r="I19" s="5">
        <f>32*60</f>
        <v>1920</v>
      </c>
      <c r="J19" s="5">
        <f>32*60</f>
        <v>1920</v>
      </c>
      <c r="K19" s="5">
        <f>32*60</f>
        <v>1920</v>
      </c>
      <c r="L19" s="5">
        <f>32*60</f>
        <v>1920</v>
      </c>
      <c r="M19" s="5">
        <f>32*60</f>
        <v>1920</v>
      </c>
    </row>
    <row r="20" spans="2:13" x14ac:dyDescent="0.25">
      <c r="B20" s="13"/>
      <c r="C20" s="27"/>
      <c r="D20" s="13"/>
      <c r="E20" s="15"/>
      <c r="F20" s="13"/>
      <c r="G20" s="13"/>
      <c r="I20" s="5"/>
      <c r="J20" s="5"/>
      <c r="K20" s="5"/>
      <c r="L20" s="5"/>
      <c r="M20" s="5"/>
    </row>
    <row r="21" spans="2:13" x14ac:dyDescent="0.25">
      <c r="B21" s="13" t="s">
        <v>197</v>
      </c>
      <c r="C21" s="34">
        <f>IF(F21&gt;65,"prüfen",IF(F21&gt;55,3,IF(F21&gt;45,3.3,IF(F21&gt;40,3.6,IF(F21&gt;34,3.9,"Fehler")))))</f>
        <v>3.6</v>
      </c>
      <c r="D21" s="13"/>
      <c r="E21" s="15" t="s">
        <v>66</v>
      </c>
      <c r="F21" s="19">
        <v>45</v>
      </c>
      <c r="G21" s="13" t="s">
        <v>67</v>
      </c>
      <c r="I21" s="5"/>
      <c r="J21" s="5"/>
      <c r="K21" s="5"/>
      <c r="L21" s="5"/>
      <c r="M21" s="5"/>
    </row>
    <row r="22" spans="2:13" x14ac:dyDescent="0.25">
      <c r="B22" s="13"/>
      <c r="D22" s="13"/>
      <c r="E22" s="15"/>
      <c r="F22" s="13"/>
      <c r="G22" s="13"/>
      <c r="H22" t="s">
        <v>74</v>
      </c>
      <c r="I22" s="5">
        <f>IF(I16&lt;8,I18+I19, IF(I16&lt;12,J18+J19,IF(I16&lt;14,K18+K19,IF(I16&lt;20,L18+L19,M18+M19))))</f>
        <v>20920</v>
      </c>
      <c r="J22" s="5"/>
      <c r="K22" s="5"/>
      <c r="L22" s="5"/>
      <c r="M22" s="5"/>
    </row>
    <row r="23" spans="2:13" x14ac:dyDescent="0.25">
      <c r="B23" s="13" t="s">
        <v>64</v>
      </c>
      <c r="C23" s="35">
        <v>50</v>
      </c>
      <c r="D23" s="13" t="s">
        <v>53</v>
      </c>
      <c r="E23" s="15"/>
      <c r="F23" s="13"/>
      <c r="G23" s="13"/>
    </row>
    <row r="24" spans="2:13" x14ac:dyDescent="0.25">
      <c r="B24" s="13" t="s">
        <v>65</v>
      </c>
      <c r="C24" s="35">
        <v>20</v>
      </c>
      <c r="D24" s="13" t="s">
        <v>53</v>
      </c>
      <c r="E24" s="15"/>
      <c r="F24" s="13"/>
      <c r="G24" s="13"/>
    </row>
    <row r="25" spans="2:13" x14ac:dyDescent="0.25">
      <c r="B25" s="13" t="s">
        <v>62</v>
      </c>
      <c r="C25" s="35">
        <v>50</v>
      </c>
      <c r="D25" s="13" t="s">
        <v>53</v>
      </c>
    </row>
    <row r="26" spans="2:13" x14ac:dyDescent="0.25">
      <c r="G26" s="13"/>
      <c r="H26" s="20"/>
    </row>
    <row r="27" spans="2:13" x14ac:dyDescent="0.25">
      <c r="E27" s="15"/>
      <c r="F27" s="13"/>
      <c r="G27" s="13"/>
      <c r="H27" s="20"/>
    </row>
    <row r="28" spans="2:13" x14ac:dyDescent="0.25">
      <c r="E28" s="15"/>
      <c r="F28" s="13"/>
      <c r="G28" s="13"/>
    </row>
  </sheetData>
  <pageMargins left="0.25" right="0.25" top="0.75" bottom="0.75" header="0.3" footer="0.3"/>
  <pageSetup paperSize="9" orientation="portrait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BEABEF7F-F951-4C39-8615-9118079596E8}">
          <x14:formula1>
            <xm:f>Tabelle2!$A$1:$A$8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CC00F-3B1E-4798-8CBD-5C74C4C1405C}">
  <dimension ref="A1:AD62"/>
  <sheetViews>
    <sheetView topLeftCell="A38" zoomScale="110" zoomScaleNormal="110" workbookViewId="0">
      <selection activeCell="B47" sqref="B47:J56"/>
    </sheetView>
  </sheetViews>
  <sheetFormatPr baseColWidth="10" defaultRowHeight="15" x14ac:dyDescent="0.25"/>
  <cols>
    <col min="1" max="1" width="3.85546875" customWidth="1"/>
    <col min="2" max="2" width="37.28515625" customWidth="1"/>
    <col min="3" max="10" width="14.5703125" customWidth="1"/>
    <col min="11" max="11" width="4.140625" customWidth="1"/>
    <col min="14" max="14" width="17.28515625" customWidth="1"/>
    <col min="15" max="15" width="17.42578125" customWidth="1"/>
    <col min="21" max="21" width="3.85546875" customWidth="1"/>
  </cols>
  <sheetData>
    <row r="1" spans="1:30" x14ac:dyDescent="0.25">
      <c r="A1" s="1" t="s">
        <v>201</v>
      </c>
    </row>
    <row r="3" spans="1:30" x14ac:dyDescent="0.25">
      <c r="A3" t="s">
        <v>202</v>
      </c>
    </row>
    <row r="4" spans="1:30" ht="90" customHeight="1" x14ac:dyDescent="0.25">
      <c r="A4" s="3" t="s">
        <v>205</v>
      </c>
      <c r="B4" s="62"/>
      <c r="C4" s="63" t="s">
        <v>19</v>
      </c>
      <c r="D4" s="63" t="s">
        <v>20</v>
      </c>
      <c r="E4" s="63" t="s">
        <v>1</v>
      </c>
      <c r="F4" s="63" t="s">
        <v>28</v>
      </c>
      <c r="G4" s="63" t="s">
        <v>76</v>
      </c>
      <c r="H4" s="63" t="s">
        <v>75</v>
      </c>
      <c r="I4" s="63" t="s">
        <v>41</v>
      </c>
      <c r="J4" s="63" t="s">
        <v>191</v>
      </c>
      <c r="K4" s="80" t="s">
        <v>206</v>
      </c>
      <c r="L4" s="80"/>
      <c r="M4" s="9" t="s">
        <v>19</v>
      </c>
      <c r="N4" s="9" t="s">
        <v>45</v>
      </c>
      <c r="O4" s="9" t="s">
        <v>1</v>
      </c>
      <c r="P4" s="9" t="s">
        <v>28</v>
      </c>
      <c r="Q4" s="9" t="s">
        <v>76</v>
      </c>
      <c r="R4" s="9" t="s">
        <v>75</v>
      </c>
      <c r="S4" s="9" t="s">
        <v>41</v>
      </c>
      <c r="T4" s="9" t="str">
        <f>J4</f>
        <v>Infrarotheizung mit PV-Anlage</v>
      </c>
      <c r="U4" s="80" t="s">
        <v>207</v>
      </c>
      <c r="V4" s="80"/>
      <c r="W4" s="9" t="s">
        <v>19</v>
      </c>
      <c r="X4" s="9" t="s">
        <v>45</v>
      </c>
      <c r="Y4" s="9" t="s">
        <v>1</v>
      </c>
      <c r="Z4" s="9" t="s">
        <v>28</v>
      </c>
      <c r="AA4" s="9" t="s">
        <v>29</v>
      </c>
      <c r="AB4" s="9" t="s">
        <v>30</v>
      </c>
      <c r="AC4" s="9" t="s">
        <v>41</v>
      </c>
      <c r="AD4" t="str">
        <f>T4</f>
        <v>Infrarotheizung mit PV-Anlage</v>
      </c>
    </row>
    <row r="5" spans="1:30" x14ac:dyDescent="0.25">
      <c r="B5" s="4" t="s">
        <v>4</v>
      </c>
      <c r="C5" s="23">
        <v>500</v>
      </c>
      <c r="D5" s="23">
        <v>500</v>
      </c>
      <c r="E5" s="23">
        <v>500</v>
      </c>
      <c r="F5" s="23">
        <v>500</v>
      </c>
      <c r="G5" s="23">
        <v>500</v>
      </c>
      <c r="H5" s="23">
        <v>500</v>
      </c>
      <c r="I5" s="23">
        <v>500</v>
      </c>
      <c r="J5" s="23">
        <v>500</v>
      </c>
      <c r="L5" s="4" t="s">
        <v>4</v>
      </c>
      <c r="M5" s="5">
        <f t="shared" ref="M5:M18" si="0">C5</f>
        <v>500</v>
      </c>
      <c r="N5" s="5">
        <f t="shared" ref="N5:N18" si="1">D5</f>
        <v>500</v>
      </c>
      <c r="O5" s="5">
        <f t="shared" ref="O5:O18" si="2">E5</f>
        <v>500</v>
      </c>
      <c r="P5" s="5">
        <f t="shared" ref="P5:P18" si="3">F5</f>
        <v>500</v>
      </c>
      <c r="Q5" s="5">
        <f t="shared" ref="Q5:Q18" si="4">G5</f>
        <v>500</v>
      </c>
      <c r="R5" s="5">
        <f t="shared" ref="R5:R18" si="5">H5</f>
        <v>500</v>
      </c>
      <c r="S5" s="5">
        <f t="shared" ref="S5:S18" si="6">I5</f>
        <v>500</v>
      </c>
      <c r="T5" s="5">
        <f>J5</f>
        <v>500</v>
      </c>
      <c r="V5" s="4" t="s">
        <v>4</v>
      </c>
      <c r="W5" s="5">
        <f>C5</f>
        <v>500</v>
      </c>
      <c r="X5" s="5">
        <f t="shared" ref="X5:X18" si="7">D5</f>
        <v>500</v>
      </c>
      <c r="Y5" s="5">
        <f t="shared" ref="Y5:Y18" si="8">E5</f>
        <v>500</v>
      </c>
      <c r="Z5" s="5">
        <f t="shared" ref="Z5:Z18" si="9">F5</f>
        <v>500</v>
      </c>
      <c r="AA5" s="5">
        <f t="shared" ref="AA5:AA18" si="10">G5</f>
        <v>500</v>
      </c>
      <c r="AB5" s="5">
        <f t="shared" ref="AB5:AB18" si="11">H5</f>
        <v>500</v>
      </c>
      <c r="AC5" s="5">
        <f t="shared" ref="AC5:AD18" si="12">I5</f>
        <v>500</v>
      </c>
      <c r="AD5" s="5">
        <f t="shared" si="12"/>
        <v>500</v>
      </c>
    </row>
    <row r="6" spans="1:30" x14ac:dyDescent="0.25">
      <c r="B6" s="4" t="s">
        <v>5</v>
      </c>
      <c r="C6" s="23">
        <v>6000</v>
      </c>
      <c r="D6" s="23">
        <f>Eingaben!I22</f>
        <v>20920</v>
      </c>
      <c r="E6" s="23">
        <v>20000</v>
      </c>
      <c r="F6" s="23">
        <v>6000</v>
      </c>
      <c r="G6" s="23">
        <f>Eingaben!I22*1.2+10000</f>
        <v>35104</v>
      </c>
      <c r="H6" s="23">
        <f>Eingaben!I22+10000</f>
        <v>30920</v>
      </c>
      <c r="I6" s="23">
        <f>D6</f>
        <v>20920</v>
      </c>
      <c r="J6" s="23">
        <f>Eingaben!I16*1200</f>
        <v>16800</v>
      </c>
      <c r="L6" s="4" t="s">
        <v>5</v>
      </c>
      <c r="M6" s="5">
        <f t="shared" si="0"/>
        <v>6000</v>
      </c>
      <c r="N6" s="5">
        <f t="shared" si="1"/>
        <v>20920</v>
      </c>
      <c r="O6" s="5">
        <f t="shared" si="2"/>
        <v>20000</v>
      </c>
      <c r="P6" s="5">
        <f t="shared" si="3"/>
        <v>6000</v>
      </c>
      <c r="Q6" s="5">
        <f t="shared" si="4"/>
        <v>35104</v>
      </c>
      <c r="R6" s="5">
        <f t="shared" si="5"/>
        <v>30920</v>
      </c>
      <c r="S6" s="5">
        <f t="shared" si="6"/>
        <v>20920</v>
      </c>
      <c r="T6" s="5">
        <f t="shared" ref="T6:T19" si="13">J6</f>
        <v>16800</v>
      </c>
      <c r="V6" s="4" t="s">
        <v>5</v>
      </c>
      <c r="W6" s="5">
        <f t="shared" ref="W6:W18" si="14">C6</f>
        <v>6000</v>
      </c>
      <c r="X6" s="5">
        <f t="shared" si="7"/>
        <v>20920</v>
      </c>
      <c r="Y6" s="5">
        <f t="shared" si="8"/>
        <v>20000</v>
      </c>
      <c r="Z6" s="5">
        <f t="shared" si="9"/>
        <v>6000</v>
      </c>
      <c r="AA6" s="5">
        <f t="shared" si="10"/>
        <v>35104</v>
      </c>
      <c r="AB6" s="5">
        <f t="shared" si="11"/>
        <v>30920</v>
      </c>
      <c r="AC6" s="5">
        <f t="shared" si="12"/>
        <v>20920</v>
      </c>
      <c r="AD6" s="5">
        <f t="shared" si="12"/>
        <v>16800</v>
      </c>
    </row>
    <row r="7" spans="1:30" x14ac:dyDescent="0.25">
      <c r="B7" s="4" t="s">
        <v>6</v>
      </c>
      <c r="C7" s="23">
        <v>500</v>
      </c>
      <c r="D7" s="23">
        <v>0</v>
      </c>
      <c r="E7" s="23">
        <v>500</v>
      </c>
      <c r="F7" s="23">
        <v>500</v>
      </c>
      <c r="G7" s="23">
        <v>0</v>
      </c>
      <c r="H7" s="23">
        <v>0</v>
      </c>
      <c r="I7" s="23">
        <v>0</v>
      </c>
      <c r="J7" s="23"/>
      <c r="L7" s="4" t="s">
        <v>6</v>
      </c>
      <c r="M7" s="5">
        <f t="shared" si="0"/>
        <v>500</v>
      </c>
      <c r="N7" s="5">
        <f t="shared" si="1"/>
        <v>0</v>
      </c>
      <c r="O7" s="5">
        <f t="shared" si="2"/>
        <v>500</v>
      </c>
      <c r="P7" s="5">
        <f t="shared" si="3"/>
        <v>500</v>
      </c>
      <c r="Q7" s="5">
        <f t="shared" si="4"/>
        <v>0</v>
      </c>
      <c r="R7" s="5">
        <f t="shared" si="5"/>
        <v>0</v>
      </c>
      <c r="S7" s="5">
        <f t="shared" si="6"/>
        <v>0</v>
      </c>
      <c r="T7" s="5">
        <f t="shared" si="13"/>
        <v>0</v>
      </c>
      <c r="V7" s="4" t="s">
        <v>6</v>
      </c>
      <c r="W7" s="5">
        <f t="shared" si="14"/>
        <v>500</v>
      </c>
      <c r="X7" s="5">
        <f t="shared" si="7"/>
        <v>0</v>
      </c>
      <c r="Y7" s="5">
        <f t="shared" si="8"/>
        <v>500</v>
      </c>
      <c r="Z7" s="5">
        <f t="shared" si="9"/>
        <v>500</v>
      </c>
      <c r="AA7" s="5">
        <f t="shared" si="10"/>
        <v>0</v>
      </c>
      <c r="AB7" s="5">
        <f t="shared" si="11"/>
        <v>0</v>
      </c>
      <c r="AC7" s="5">
        <f t="shared" si="12"/>
        <v>0</v>
      </c>
      <c r="AD7" s="5">
        <f t="shared" si="12"/>
        <v>0</v>
      </c>
    </row>
    <row r="8" spans="1:30" x14ac:dyDescent="0.25">
      <c r="B8" s="4" t="s">
        <v>25</v>
      </c>
      <c r="C8" s="23">
        <v>0</v>
      </c>
      <c r="D8" s="23">
        <v>1000</v>
      </c>
      <c r="E8" s="23">
        <v>3000</v>
      </c>
      <c r="F8" s="23">
        <v>0</v>
      </c>
      <c r="G8" s="23">
        <v>2000</v>
      </c>
      <c r="H8" s="23">
        <v>2000</v>
      </c>
      <c r="I8" s="23">
        <v>1000</v>
      </c>
      <c r="J8" s="23">
        <v>1000</v>
      </c>
      <c r="L8" s="4" t="s">
        <v>25</v>
      </c>
      <c r="M8" s="5">
        <f t="shared" si="0"/>
        <v>0</v>
      </c>
      <c r="N8" s="5">
        <f t="shared" si="1"/>
        <v>1000</v>
      </c>
      <c r="O8" s="5">
        <f t="shared" si="2"/>
        <v>3000</v>
      </c>
      <c r="P8" s="5">
        <f t="shared" si="3"/>
        <v>0</v>
      </c>
      <c r="Q8" s="5">
        <f t="shared" si="4"/>
        <v>2000</v>
      </c>
      <c r="R8" s="5">
        <f t="shared" si="5"/>
        <v>2000</v>
      </c>
      <c r="S8" s="5">
        <f t="shared" si="6"/>
        <v>1000</v>
      </c>
      <c r="T8" s="5">
        <f t="shared" si="13"/>
        <v>1000</v>
      </c>
      <c r="V8" s="4" t="s">
        <v>25</v>
      </c>
      <c r="W8" s="5">
        <f t="shared" si="14"/>
        <v>0</v>
      </c>
      <c r="X8" s="5">
        <f t="shared" si="7"/>
        <v>1000</v>
      </c>
      <c r="Y8" s="5">
        <f t="shared" si="8"/>
        <v>3000</v>
      </c>
      <c r="Z8" s="5">
        <f t="shared" si="9"/>
        <v>0</v>
      </c>
      <c r="AA8" s="5">
        <f t="shared" si="10"/>
        <v>2000</v>
      </c>
      <c r="AB8" s="5">
        <f t="shared" si="11"/>
        <v>2000</v>
      </c>
      <c r="AC8" s="5">
        <f t="shared" si="12"/>
        <v>1000</v>
      </c>
      <c r="AD8" s="5">
        <f t="shared" si="12"/>
        <v>1000</v>
      </c>
    </row>
    <row r="9" spans="1:30" x14ac:dyDescent="0.25">
      <c r="B9" s="4" t="s">
        <v>27</v>
      </c>
      <c r="C9" s="23"/>
      <c r="D9" s="23"/>
      <c r="E9" s="23"/>
      <c r="F9" s="23">
        <v>1000</v>
      </c>
      <c r="G9" s="23"/>
      <c r="H9" s="23"/>
      <c r="I9" s="23"/>
      <c r="J9" s="23"/>
      <c r="L9" s="4" t="s">
        <v>27</v>
      </c>
      <c r="M9" s="5">
        <f t="shared" si="0"/>
        <v>0</v>
      </c>
      <c r="N9" s="5">
        <f t="shared" si="1"/>
        <v>0</v>
      </c>
      <c r="O9" s="5">
        <f t="shared" si="2"/>
        <v>0</v>
      </c>
      <c r="P9" s="5">
        <f t="shared" si="3"/>
        <v>1000</v>
      </c>
      <c r="Q9" s="5">
        <f t="shared" si="4"/>
        <v>0</v>
      </c>
      <c r="R9" s="5">
        <f t="shared" si="5"/>
        <v>0</v>
      </c>
      <c r="S9" s="5">
        <f t="shared" si="6"/>
        <v>0</v>
      </c>
      <c r="T9" s="5">
        <f t="shared" si="13"/>
        <v>0</v>
      </c>
      <c r="V9" s="4" t="s">
        <v>27</v>
      </c>
      <c r="W9" s="5">
        <f t="shared" si="14"/>
        <v>0</v>
      </c>
      <c r="X9" s="5">
        <f t="shared" si="7"/>
        <v>0</v>
      </c>
      <c r="Y9" s="5">
        <f t="shared" si="8"/>
        <v>0</v>
      </c>
      <c r="Z9" s="5">
        <f t="shared" si="9"/>
        <v>1000</v>
      </c>
      <c r="AA9" s="5">
        <f t="shared" si="10"/>
        <v>0</v>
      </c>
      <c r="AB9" s="5">
        <f t="shared" si="11"/>
        <v>0</v>
      </c>
      <c r="AC9" s="5">
        <f t="shared" si="12"/>
        <v>0</v>
      </c>
      <c r="AD9" s="5">
        <f t="shared" si="12"/>
        <v>0</v>
      </c>
    </row>
    <row r="10" spans="1:30" x14ac:dyDescent="0.25">
      <c r="B10" s="4" t="s">
        <v>26</v>
      </c>
      <c r="C10" s="23"/>
      <c r="D10" s="23"/>
      <c r="E10" s="23"/>
      <c r="F10" s="23"/>
      <c r="G10" s="23"/>
      <c r="H10" s="23"/>
      <c r="I10" s="23"/>
      <c r="J10" s="23"/>
      <c r="L10" s="4" t="s">
        <v>26</v>
      </c>
      <c r="M10" s="5">
        <f t="shared" si="0"/>
        <v>0</v>
      </c>
      <c r="N10" s="5">
        <f t="shared" si="1"/>
        <v>0</v>
      </c>
      <c r="O10" s="5">
        <f t="shared" si="2"/>
        <v>0</v>
      </c>
      <c r="P10" s="5">
        <f t="shared" si="3"/>
        <v>0</v>
      </c>
      <c r="Q10" s="5">
        <f t="shared" si="4"/>
        <v>0</v>
      </c>
      <c r="R10" s="5">
        <f t="shared" si="5"/>
        <v>0</v>
      </c>
      <c r="S10" s="5">
        <f t="shared" si="6"/>
        <v>0</v>
      </c>
      <c r="T10" s="5">
        <f t="shared" si="13"/>
        <v>0</v>
      </c>
      <c r="V10" s="4" t="s">
        <v>26</v>
      </c>
      <c r="W10" s="5">
        <f t="shared" si="14"/>
        <v>0</v>
      </c>
      <c r="X10" s="5">
        <f t="shared" si="7"/>
        <v>0</v>
      </c>
      <c r="Y10" s="5">
        <f t="shared" si="8"/>
        <v>0</v>
      </c>
      <c r="Z10" s="5">
        <f t="shared" si="9"/>
        <v>0</v>
      </c>
      <c r="AA10" s="5">
        <f t="shared" si="10"/>
        <v>0</v>
      </c>
      <c r="AB10" s="5">
        <f t="shared" si="11"/>
        <v>0</v>
      </c>
      <c r="AC10" s="5">
        <f t="shared" si="12"/>
        <v>0</v>
      </c>
      <c r="AD10" s="5">
        <f t="shared" si="12"/>
        <v>0</v>
      </c>
    </row>
    <row r="11" spans="1:30" x14ac:dyDescent="0.25">
      <c r="B11" s="4" t="s">
        <v>31</v>
      </c>
      <c r="C11" s="23"/>
      <c r="D11" s="23"/>
      <c r="E11" s="23"/>
      <c r="F11" s="23"/>
      <c r="G11" s="23"/>
      <c r="H11" s="23"/>
      <c r="I11" s="23"/>
      <c r="J11" s="23"/>
      <c r="L11" s="4" t="s">
        <v>31</v>
      </c>
      <c r="M11" s="5">
        <f t="shared" si="0"/>
        <v>0</v>
      </c>
      <c r="N11" s="5">
        <f t="shared" si="1"/>
        <v>0</v>
      </c>
      <c r="O11" s="5">
        <f t="shared" si="2"/>
        <v>0</v>
      </c>
      <c r="P11" s="5">
        <f t="shared" si="3"/>
        <v>0</v>
      </c>
      <c r="Q11" s="5">
        <f t="shared" si="4"/>
        <v>0</v>
      </c>
      <c r="R11" s="5">
        <f t="shared" si="5"/>
        <v>0</v>
      </c>
      <c r="S11" s="5">
        <f t="shared" si="6"/>
        <v>0</v>
      </c>
      <c r="T11" s="5">
        <f t="shared" si="13"/>
        <v>0</v>
      </c>
      <c r="V11" s="4" t="s">
        <v>31</v>
      </c>
      <c r="W11" s="5">
        <f t="shared" si="14"/>
        <v>0</v>
      </c>
      <c r="X11" s="5">
        <f t="shared" si="7"/>
        <v>0</v>
      </c>
      <c r="Y11" s="5">
        <f t="shared" si="8"/>
        <v>0</v>
      </c>
      <c r="Z11" s="5">
        <f t="shared" si="9"/>
        <v>0</v>
      </c>
      <c r="AA11" s="5">
        <f t="shared" si="10"/>
        <v>0</v>
      </c>
      <c r="AB11" s="5">
        <f t="shared" si="11"/>
        <v>0</v>
      </c>
      <c r="AC11" s="5">
        <f t="shared" si="12"/>
        <v>0</v>
      </c>
      <c r="AD11" s="5">
        <f t="shared" si="12"/>
        <v>0</v>
      </c>
    </row>
    <row r="12" spans="1:30" x14ac:dyDescent="0.25">
      <c r="B12" s="4" t="s">
        <v>7</v>
      </c>
      <c r="C12" s="23"/>
      <c r="D12" s="23"/>
      <c r="E12" s="23"/>
      <c r="F12" s="23"/>
      <c r="G12" s="23"/>
      <c r="H12" s="23"/>
      <c r="I12" s="23"/>
      <c r="J12" s="23"/>
      <c r="L12" s="4" t="s">
        <v>7</v>
      </c>
      <c r="M12" s="5">
        <f t="shared" si="0"/>
        <v>0</v>
      </c>
      <c r="N12" s="5">
        <f t="shared" si="1"/>
        <v>0</v>
      </c>
      <c r="O12" s="5">
        <f t="shared" si="2"/>
        <v>0</v>
      </c>
      <c r="P12" s="5">
        <f t="shared" si="3"/>
        <v>0</v>
      </c>
      <c r="Q12" s="5">
        <f t="shared" si="4"/>
        <v>0</v>
      </c>
      <c r="R12" s="5">
        <f t="shared" si="5"/>
        <v>0</v>
      </c>
      <c r="S12" s="5">
        <f t="shared" si="6"/>
        <v>0</v>
      </c>
      <c r="T12" s="5">
        <f t="shared" si="13"/>
        <v>0</v>
      </c>
      <c r="V12" s="4" t="s">
        <v>7</v>
      </c>
      <c r="W12" s="5">
        <f t="shared" si="14"/>
        <v>0</v>
      </c>
      <c r="X12" s="5">
        <f t="shared" si="7"/>
        <v>0</v>
      </c>
      <c r="Y12" s="5">
        <f t="shared" si="8"/>
        <v>0</v>
      </c>
      <c r="Z12" s="5">
        <f t="shared" si="9"/>
        <v>0</v>
      </c>
      <c r="AA12" s="5">
        <f t="shared" si="10"/>
        <v>0</v>
      </c>
      <c r="AB12" s="5">
        <f t="shared" si="11"/>
        <v>0</v>
      </c>
      <c r="AC12" s="5">
        <f t="shared" si="12"/>
        <v>0</v>
      </c>
      <c r="AD12" s="5">
        <f t="shared" si="12"/>
        <v>0</v>
      </c>
    </row>
    <row r="13" spans="1:30" x14ac:dyDescent="0.25">
      <c r="B13" s="4" t="s">
        <v>8</v>
      </c>
      <c r="C13" s="23">
        <v>2500</v>
      </c>
      <c r="D13" s="23">
        <v>2500</v>
      </c>
      <c r="E13" s="23">
        <v>2500</v>
      </c>
      <c r="F13" s="23">
        <v>2500</v>
      </c>
      <c r="G13" s="23">
        <v>2500</v>
      </c>
      <c r="H13" s="23">
        <v>2500</v>
      </c>
      <c r="I13" s="23">
        <v>2500</v>
      </c>
      <c r="J13" s="23"/>
      <c r="L13" s="4" t="s">
        <v>8</v>
      </c>
      <c r="M13" s="5">
        <f t="shared" si="0"/>
        <v>2500</v>
      </c>
      <c r="N13" s="5">
        <f t="shared" si="1"/>
        <v>2500</v>
      </c>
      <c r="O13" s="5">
        <f t="shared" si="2"/>
        <v>2500</v>
      </c>
      <c r="P13" s="5">
        <f t="shared" si="3"/>
        <v>2500</v>
      </c>
      <c r="Q13" s="5">
        <f t="shared" si="4"/>
        <v>2500</v>
      </c>
      <c r="R13" s="5">
        <f t="shared" si="5"/>
        <v>2500</v>
      </c>
      <c r="S13" s="5">
        <f t="shared" si="6"/>
        <v>2500</v>
      </c>
      <c r="T13" s="5">
        <f t="shared" si="13"/>
        <v>0</v>
      </c>
      <c r="V13" s="4" t="s">
        <v>8</v>
      </c>
      <c r="W13" s="5">
        <f t="shared" si="14"/>
        <v>2500</v>
      </c>
      <c r="X13" s="5">
        <f t="shared" si="7"/>
        <v>2500</v>
      </c>
      <c r="Y13" s="5">
        <f t="shared" si="8"/>
        <v>2500</v>
      </c>
      <c r="Z13" s="5">
        <f t="shared" si="9"/>
        <v>2500</v>
      </c>
      <c r="AA13" s="5">
        <f t="shared" si="10"/>
        <v>2500</v>
      </c>
      <c r="AB13" s="5">
        <f t="shared" si="11"/>
        <v>2500</v>
      </c>
      <c r="AC13" s="5">
        <f t="shared" si="12"/>
        <v>2500</v>
      </c>
      <c r="AD13" s="5">
        <f t="shared" si="12"/>
        <v>0</v>
      </c>
    </row>
    <row r="14" spans="1:30" x14ac:dyDescent="0.25">
      <c r="B14" s="4" t="s">
        <v>9</v>
      </c>
      <c r="C14" s="23">
        <v>500</v>
      </c>
      <c r="D14" s="23">
        <v>500</v>
      </c>
      <c r="E14" s="23">
        <v>500</v>
      </c>
      <c r="F14" s="23">
        <v>500</v>
      </c>
      <c r="G14" s="23">
        <v>500</v>
      </c>
      <c r="H14" s="23">
        <v>500</v>
      </c>
      <c r="I14" s="23">
        <v>500</v>
      </c>
      <c r="J14" s="23"/>
      <c r="L14" s="4" t="s">
        <v>9</v>
      </c>
      <c r="M14" s="5">
        <f t="shared" si="0"/>
        <v>500</v>
      </c>
      <c r="N14" s="5">
        <f t="shared" si="1"/>
        <v>500</v>
      </c>
      <c r="O14" s="5">
        <f t="shared" si="2"/>
        <v>500</v>
      </c>
      <c r="P14" s="5">
        <f t="shared" si="3"/>
        <v>500</v>
      </c>
      <c r="Q14" s="5">
        <f t="shared" si="4"/>
        <v>500</v>
      </c>
      <c r="R14" s="5">
        <f t="shared" si="5"/>
        <v>500</v>
      </c>
      <c r="S14" s="5">
        <f t="shared" si="6"/>
        <v>500</v>
      </c>
      <c r="T14" s="5">
        <f t="shared" si="13"/>
        <v>0</v>
      </c>
      <c r="V14" s="4" t="s">
        <v>9</v>
      </c>
      <c r="W14" s="5">
        <f t="shared" si="14"/>
        <v>500</v>
      </c>
      <c r="X14" s="5">
        <f t="shared" si="7"/>
        <v>500</v>
      </c>
      <c r="Y14" s="5">
        <f t="shared" si="8"/>
        <v>500</v>
      </c>
      <c r="Z14" s="5">
        <f t="shared" si="9"/>
        <v>500</v>
      </c>
      <c r="AA14" s="5">
        <f t="shared" si="10"/>
        <v>500</v>
      </c>
      <c r="AB14" s="5">
        <f t="shared" si="11"/>
        <v>500</v>
      </c>
      <c r="AC14" s="5">
        <f t="shared" si="12"/>
        <v>500</v>
      </c>
      <c r="AD14" s="5">
        <f t="shared" si="12"/>
        <v>0</v>
      </c>
    </row>
    <row r="15" spans="1:30" x14ac:dyDescent="0.25">
      <c r="B15" s="4" t="s">
        <v>10</v>
      </c>
      <c r="C15" s="23"/>
      <c r="D15" s="23"/>
      <c r="E15" s="23">
        <v>4000</v>
      </c>
      <c r="F15" s="23"/>
      <c r="G15" s="23"/>
      <c r="H15" s="23"/>
      <c r="I15" s="23"/>
      <c r="J15" s="23"/>
      <c r="L15" s="4" t="s">
        <v>10</v>
      </c>
      <c r="M15" s="5">
        <f t="shared" si="0"/>
        <v>0</v>
      </c>
      <c r="N15" s="5">
        <f t="shared" si="1"/>
        <v>0</v>
      </c>
      <c r="O15" s="5">
        <f t="shared" si="2"/>
        <v>4000</v>
      </c>
      <c r="P15" s="5">
        <f t="shared" si="3"/>
        <v>0</v>
      </c>
      <c r="Q15" s="5">
        <f t="shared" si="4"/>
        <v>0</v>
      </c>
      <c r="R15" s="5">
        <f t="shared" si="5"/>
        <v>0</v>
      </c>
      <c r="S15" s="5">
        <f t="shared" si="6"/>
        <v>0</v>
      </c>
      <c r="T15" s="5">
        <f t="shared" si="13"/>
        <v>0</v>
      </c>
      <c r="V15" s="4" t="s">
        <v>10</v>
      </c>
      <c r="W15" s="5">
        <f t="shared" si="14"/>
        <v>0</v>
      </c>
      <c r="X15" s="5">
        <f t="shared" si="7"/>
        <v>0</v>
      </c>
      <c r="Y15" s="5">
        <f t="shared" si="8"/>
        <v>4000</v>
      </c>
      <c r="Z15" s="5">
        <f t="shared" si="9"/>
        <v>0</v>
      </c>
      <c r="AA15" s="5">
        <f t="shared" si="10"/>
        <v>0</v>
      </c>
      <c r="AB15" s="5">
        <f t="shared" si="11"/>
        <v>0</v>
      </c>
      <c r="AC15" s="5">
        <f t="shared" si="12"/>
        <v>0</v>
      </c>
      <c r="AD15" s="5">
        <f t="shared" si="12"/>
        <v>0</v>
      </c>
    </row>
    <row r="16" spans="1:30" x14ac:dyDescent="0.25">
      <c r="B16" s="4" t="s">
        <v>200</v>
      </c>
      <c r="C16" s="23"/>
      <c r="D16" s="23"/>
      <c r="E16" s="23"/>
      <c r="F16" s="23"/>
      <c r="G16" s="23"/>
      <c r="H16" s="23"/>
      <c r="I16" s="23"/>
      <c r="J16" s="23"/>
      <c r="L16" s="4" t="s">
        <v>3</v>
      </c>
      <c r="M16" s="5">
        <f t="shared" si="0"/>
        <v>0</v>
      </c>
      <c r="N16" s="5">
        <f t="shared" si="1"/>
        <v>0</v>
      </c>
      <c r="O16" s="5">
        <f t="shared" si="2"/>
        <v>0</v>
      </c>
      <c r="P16" s="5">
        <f t="shared" si="3"/>
        <v>0</v>
      </c>
      <c r="Q16" s="5">
        <f t="shared" si="4"/>
        <v>0</v>
      </c>
      <c r="R16" s="5">
        <f t="shared" si="5"/>
        <v>0</v>
      </c>
      <c r="S16" s="5">
        <f t="shared" si="6"/>
        <v>0</v>
      </c>
      <c r="T16" s="5">
        <f t="shared" si="13"/>
        <v>0</v>
      </c>
      <c r="V16" s="4" t="s">
        <v>3</v>
      </c>
      <c r="W16" s="5">
        <f t="shared" si="14"/>
        <v>0</v>
      </c>
      <c r="X16" s="5">
        <f t="shared" si="7"/>
        <v>0</v>
      </c>
      <c r="Y16" s="5">
        <f t="shared" si="8"/>
        <v>0</v>
      </c>
      <c r="Z16" s="5">
        <f t="shared" si="9"/>
        <v>0</v>
      </c>
      <c r="AA16" s="5">
        <f t="shared" si="10"/>
        <v>0</v>
      </c>
      <c r="AB16" s="5">
        <f t="shared" si="11"/>
        <v>0</v>
      </c>
      <c r="AC16" s="5">
        <f t="shared" si="12"/>
        <v>0</v>
      </c>
      <c r="AD16" s="5">
        <f t="shared" si="12"/>
        <v>0</v>
      </c>
    </row>
    <row r="17" spans="1:30" x14ac:dyDescent="0.25">
      <c r="B17" s="4" t="s">
        <v>21</v>
      </c>
      <c r="C17" s="23">
        <v>500</v>
      </c>
      <c r="D17" s="23">
        <v>1000</v>
      </c>
      <c r="E17" s="23">
        <v>500</v>
      </c>
      <c r="F17" s="23">
        <v>500</v>
      </c>
      <c r="G17" s="23">
        <v>1000</v>
      </c>
      <c r="H17" s="23">
        <v>1000</v>
      </c>
      <c r="I17" s="23">
        <v>1000</v>
      </c>
      <c r="J17" s="23">
        <v>2000</v>
      </c>
      <c r="L17" s="4" t="s">
        <v>21</v>
      </c>
      <c r="M17" s="5">
        <f t="shared" si="0"/>
        <v>500</v>
      </c>
      <c r="N17" s="5">
        <f t="shared" si="1"/>
        <v>1000</v>
      </c>
      <c r="O17" s="5">
        <f t="shared" si="2"/>
        <v>500</v>
      </c>
      <c r="P17" s="5">
        <f t="shared" si="3"/>
        <v>500</v>
      </c>
      <c r="Q17" s="5">
        <f t="shared" si="4"/>
        <v>1000</v>
      </c>
      <c r="R17" s="5">
        <f t="shared" si="5"/>
        <v>1000</v>
      </c>
      <c r="S17" s="5">
        <f t="shared" si="6"/>
        <v>1000</v>
      </c>
      <c r="T17" s="5">
        <f t="shared" si="13"/>
        <v>2000</v>
      </c>
      <c r="V17" s="4" t="s">
        <v>21</v>
      </c>
      <c r="W17" s="5">
        <f t="shared" si="14"/>
        <v>500</v>
      </c>
      <c r="X17" s="5">
        <f t="shared" si="7"/>
        <v>1000</v>
      </c>
      <c r="Y17" s="5">
        <f t="shared" si="8"/>
        <v>500</v>
      </c>
      <c r="Z17" s="5">
        <f t="shared" si="9"/>
        <v>500</v>
      </c>
      <c r="AA17" s="5">
        <f t="shared" si="10"/>
        <v>1000</v>
      </c>
      <c r="AB17" s="5">
        <f t="shared" si="11"/>
        <v>1000</v>
      </c>
      <c r="AC17" s="5">
        <f t="shared" si="12"/>
        <v>1000</v>
      </c>
      <c r="AD17" s="5">
        <f t="shared" si="12"/>
        <v>2000</v>
      </c>
    </row>
    <row r="18" spans="1:30" x14ac:dyDescent="0.25">
      <c r="B18" s="4" t="s">
        <v>22</v>
      </c>
      <c r="C18" s="23">
        <v>150</v>
      </c>
      <c r="D18" s="23"/>
      <c r="E18" s="23">
        <v>150</v>
      </c>
      <c r="F18" s="23">
        <v>150</v>
      </c>
      <c r="G18" s="23"/>
      <c r="H18" s="23"/>
      <c r="I18" s="23"/>
      <c r="J18" s="23"/>
      <c r="L18" s="4" t="s">
        <v>22</v>
      </c>
      <c r="M18" s="5">
        <f t="shared" si="0"/>
        <v>150</v>
      </c>
      <c r="N18" s="5">
        <f t="shared" si="1"/>
        <v>0</v>
      </c>
      <c r="O18" s="5">
        <f t="shared" si="2"/>
        <v>150</v>
      </c>
      <c r="P18" s="5">
        <f t="shared" si="3"/>
        <v>150</v>
      </c>
      <c r="Q18" s="5">
        <f t="shared" si="4"/>
        <v>0</v>
      </c>
      <c r="R18" s="5">
        <f t="shared" si="5"/>
        <v>0</v>
      </c>
      <c r="S18" s="5">
        <f t="shared" si="6"/>
        <v>0</v>
      </c>
      <c r="T18" s="5">
        <f t="shared" si="13"/>
        <v>0</v>
      </c>
      <c r="V18" s="4" t="s">
        <v>22</v>
      </c>
      <c r="W18" s="5">
        <f t="shared" si="14"/>
        <v>150</v>
      </c>
      <c r="X18" s="5">
        <f t="shared" si="7"/>
        <v>0</v>
      </c>
      <c r="Y18" s="5">
        <f t="shared" si="8"/>
        <v>150</v>
      </c>
      <c r="Z18" s="5">
        <f t="shared" si="9"/>
        <v>150</v>
      </c>
      <c r="AA18" s="5">
        <f t="shared" si="10"/>
        <v>0</v>
      </c>
      <c r="AB18" s="5">
        <f t="shared" si="11"/>
        <v>0</v>
      </c>
      <c r="AC18" s="5">
        <f t="shared" si="12"/>
        <v>0</v>
      </c>
      <c r="AD18" s="5">
        <f t="shared" si="12"/>
        <v>0</v>
      </c>
    </row>
    <row r="19" spans="1:30" x14ac:dyDescent="0.25">
      <c r="B19" s="4"/>
      <c r="C19" s="23"/>
      <c r="D19" s="23"/>
      <c r="E19" s="23"/>
      <c r="F19" s="23"/>
      <c r="G19" s="23"/>
      <c r="H19" s="23"/>
      <c r="I19" s="23"/>
      <c r="J19" s="23"/>
      <c r="L19" s="4"/>
      <c r="M19" s="5"/>
      <c r="N19" s="5"/>
      <c r="O19" s="5"/>
      <c r="P19" s="5"/>
      <c r="Q19" s="5"/>
      <c r="R19" s="5"/>
      <c r="S19" s="5"/>
      <c r="T19" s="5">
        <f t="shared" si="13"/>
        <v>0</v>
      </c>
      <c r="V19" s="4"/>
      <c r="W19" s="5"/>
      <c r="X19" s="5"/>
      <c r="Y19" s="5"/>
      <c r="Z19" s="5"/>
      <c r="AA19" s="5"/>
      <c r="AB19" s="5"/>
      <c r="AC19" s="5"/>
    </row>
    <row r="20" spans="1:30" x14ac:dyDescent="0.25">
      <c r="B20" s="6" t="s">
        <v>11</v>
      </c>
      <c r="C20" s="24">
        <f t="shared" ref="C20:I20" si="15">SUM(C5:C19)</f>
        <v>10650</v>
      </c>
      <c r="D20" s="24">
        <f t="shared" si="15"/>
        <v>26420</v>
      </c>
      <c r="E20" s="24">
        <f t="shared" si="15"/>
        <v>31650</v>
      </c>
      <c r="F20" s="24">
        <f t="shared" si="15"/>
        <v>11650</v>
      </c>
      <c r="G20" s="24">
        <f t="shared" si="15"/>
        <v>41604</v>
      </c>
      <c r="H20" s="24">
        <f t="shared" si="15"/>
        <v>37420</v>
      </c>
      <c r="I20" s="24">
        <f t="shared" si="15"/>
        <v>26420</v>
      </c>
      <c r="J20" s="24">
        <f t="shared" ref="J20" si="16">SUM(J5:J19)</f>
        <v>20300</v>
      </c>
      <c r="L20" s="6" t="s">
        <v>11</v>
      </c>
      <c r="M20" s="7">
        <f t="shared" ref="M20:S20" si="17">SUM(M5:M19)</f>
        <v>10650</v>
      </c>
      <c r="N20" s="7">
        <f t="shared" si="17"/>
        <v>26420</v>
      </c>
      <c r="O20" s="7">
        <f t="shared" si="17"/>
        <v>31650</v>
      </c>
      <c r="P20" s="7">
        <f t="shared" si="17"/>
        <v>11650</v>
      </c>
      <c r="Q20" s="7">
        <f t="shared" si="17"/>
        <v>41604</v>
      </c>
      <c r="R20" s="7">
        <f t="shared" si="17"/>
        <v>37420</v>
      </c>
      <c r="S20" s="7">
        <f t="shared" si="17"/>
        <v>26420</v>
      </c>
      <c r="T20" s="7">
        <f t="shared" ref="T20" si="18">SUM(T5:T19)</f>
        <v>20300</v>
      </c>
      <c r="V20" s="6" t="s">
        <v>11</v>
      </c>
      <c r="W20" s="7">
        <f t="shared" ref="W20:AC20" si="19">SUM(W5:W19)</f>
        <v>10650</v>
      </c>
      <c r="X20" s="7">
        <f t="shared" si="19"/>
        <v>26420</v>
      </c>
      <c r="Y20" s="7">
        <f t="shared" si="19"/>
        <v>31650</v>
      </c>
      <c r="Z20" s="7">
        <f t="shared" si="19"/>
        <v>11650</v>
      </c>
      <c r="AA20" s="7">
        <f t="shared" si="19"/>
        <v>41604</v>
      </c>
      <c r="AB20" s="7">
        <f t="shared" si="19"/>
        <v>37420</v>
      </c>
      <c r="AC20" s="7">
        <f t="shared" si="19"/>
        <v>26420</v>
      </c>
      <c r="AD20" s="7">
        <f t="shared" ref="AD20" si="20">SUM(AD5:AD19)</f>
        <v>20300</v>
      </c>
    </row>
    <row r="21" spans="1:30" x14ac:dyDescent="0.25">
      <c r="B21" s="4" t="s">
        <v>12</v>
      </c>
      <c r="C21" s="23">
        <f t="shared" ref="C21:I21" si="21">C20*0.19</f>
        <v>2023.5</v>
      </c>
      <c r="D21" s="23">
        <f t="shared" si="21"/>
        <v>5019.8</v>
      </c>
      <c r="E21" s="23">
        <f t="shared" si="21"/>
        <v>6013.5</v>
      </c>
      <c r="F21" s="23">
        <f t="shared" si="21"/>
        <v>2213.5</v>
      </c>
      <c r="G21" s="23">
        <f t="shared" si="21"/>
        <v>7904.76</v>
      </c>
      <c r="H21" s="23">
        <f t="shared" si="21"/>
        <v>7109.8</v>
      </c>
      <c r="I21" s="23">
        <f t="shared" si="21"/>
        <v>5019.8</v>
      </c>
      <c r="J21" s="23">
        <f t="shared" ref="J21" si="22">J20*0.19</f>
        <v>3857</v>
      </c>
      <c r="L21" s="4" t="s">
        <v>12</v>
      </c>
      <c r="M21" s="5">
        <f t="shared" ref="M21:S21" si="23">M20*0.19</f>
        <v>2023.5</v>
      </c>
      <c r="N21" s="5">
        <f t="shared" si="23"/>
        <v>5019.8</v>
      </c>
      <c r="O21" s="5">
        <f t="shared" si="23"/>
        <v>6013.5</v>
      </c>
      <c r="P21" s="5">
        <f t="shared" si="23"/>
        <v>2213.5</v>
      </c>
      <c r="Q21" s="5">
        <f t="shared" si="23"/>
        <v>7904.76</v>
      </c>
      <c r="R21" s="5">
        <f t="shared" si="23"/>
        <v>7109.8</v>
      </c>
      <c r="S21" s="5">
        <f t="shared" si="23"/>
        <v>5019.8</v>
      </c>
      <c r="T21" s="5">
        <f t="shared" ref="T21" si="24">T20*0.19</f>
        <v>3857</v>
      </c>
      <c r="V21" s="4" t="s">
        <v>12</v>
      </c>
      <c r="W21" s="5">
        <f t="shared" ref="W21:AC21" si="25">W20*0.19</f>
        <v>2023.5</v>
      </c>
      <c r="X21" s="5">
        <f t="shared" si="25"/>
        <v>5019.8</v>
      </c>
      <c r="Y21" s="5">
        <f t="shared" si="25"/>
        <v>6013.5</v>
      </c>
      <c r="Z21" s="5">
        <f t="shared" si="25"/>
        <v>2213.5</v>
      </c>
      <c r="AA21" s="5">
        <f t="shared" si="25"/>
        <v>7904.76</v>
      </c>
      <c r="AB21" s="5">
        <f t="shared" si="25"/>
        <v>7109.8</v>
      </c>
      <c r="AC21" s="5">
        <f t="shared" si="25"/>
        <v>5019.8</v>
      </c>
      <c r="AD21" s="5">
        <f t="shared" ref="AD21" si="26">AD20*0.19</f>
        <v>3857</v>
      </c>
    </row>
    <row r="22" spans="1:30" x14ac:dyDescent="0.25">
      <c r="B22" s="6" t="s">
        <v>13</v>
      </c>
      <c r="C22" s="24">
        <f t="shared" ref="C22:I22" si="27">SUM(C20:C21)</f>
        <v>12673.5</v>
      </c>
      <c r="D22" s="24">
        <f t="shared" si="27"/>
        <v>31439.8</v>
      </c>
      <c r="E22" s="24">
        <f t="shared" si="27"/>
        <v>37663.5</v>
      </c>
      <c r="F22" s="24">
        <f t="shared" si="27"/>
        <v>13863.5</v>
      </c>
      <c r="G22" s="24">
        <f t="shared" si="27"/>
        <v>49508.76</v>
      </c>
      <c r="H22" s="24">
        <f t="shared" si="27"/>
        <v>44529.8</v>
      </c>
      <c r="I22" s="24">
        <f t="shared" si="27"/>
        <v>31439.8</v>
      </c>
      <c r="J22" s="24">
        <f t="shared" ref="J22" si="28">SUM(J20:J21)</f>
        <v>24157</v>
      </c>
      <c r="L22" s="6" t="s">
        <v>13</v>
      </c>
      <c r="M22" s="7">
        <f t="shared" ref="M22:S22" si="29">SUM(M20:M21)</f>
        <v>12673.5</v>
      </c>
      <c r="N22" s="7">
        <f t="shared" si="29"/>
        <v>31439.8</v>
      </c>
      <c r="O22" s="7">
        <f t="shared" si="29"/>
        <v>37663.5</v>
      </c>
      <c r="P22" s="7">
        <f t="shared" si="29"/>
        <v>13863.5</v>
      </c>
      <c r="Q22" s="7">
        <f t="shared" si="29"/>
        <v>49508.76</v>
      </c>
      <c r="R22" s="7">
        <f t="shared" si="29"/>
        <v>44529.8</v>
      </c>
      <c r="S22" s="7">
        <f t="shared" si="29"/>
        <v>31439.8</v>
      </c>
      <c r="T22" s="7">
        <f t="shared" ref="T22" si="30">SUM(T20:T21)</f>
        <v>24157</v>
      </c>
      <c r="V22" s="6" t="s">
        <v>13</v>
      </c>
      <c r="W22" s="7">
        <f t="shared" ref="W22:AC22" si="31">SUM(W20:W21)</f>
        <v>12673.5</v>
      </c>
      <c r="X22" s="7">
        <f t="shared" si="31"/>
        <v>31439.8</v>
      </c>
      <c r="Y22" s="7">
        <f t="shared" si="31"/>
        <v>37663.5</v>
      </c>
      <c r="Z22" s="7">
        <f t="shared" si="31"/>
        <v>13863.5</v>
      </c>
      <c r="AA22" s="7">
        <f t="shared" si="31"/>
        <v>49508.76</v>
      </c>
      <c r="AB22" s="7">
        <f t="shared" si="31"/>
        <v>44529.8</v>
      </c>
      <c r="AC22" s="7">
        <f t="shared" si="31"/>
        <v>31439.8</v>
      </c>
      <c r="AD22" s="7">
        <f t="shared" ref="AD22" si="32">SUM(AD20:AD21)</f>
        <v>24157</v>
      </c>
    </row>
    <row r="23" spans="1:30" x14ac:dyDescent="0.25">
      <c r="B23" s="4" t="s">
        <v>54</v>
      </c>
      <c r="C23" s="23"/>
      <c r="D23" s="23">
        <f>IF(D22 &lt; 30000,D22*Eingaben!$C$23/100,30000*Eingaben!$C$23/100)</f>
        <v>15000</v>
      </c>
      <c r="E23" s="23">
        <f>IF(E22 &lt; 30000,E22*Eingaben!$C$23/100,30000*Eingaben!$C$23/100)</f>
        <v>15000</v>
      </c>
      <c r="F23" s="23"/>
      <c r="G23" s="23">
        <f>IF(G22 &lt; 30000,G22*Eingaben!$C$23/100,30000*Eingaben!$C$23/100)</f>
        <v>15000</v>
      </c>
      <c r="H23" s="23">
        <f>IF(H22 &lt; 30000,H22*Eingaben!$C$23/100,30000*Eingaben!$C$23/100)</f>
        <v>15000</v>
      </c>
      <c r="I23" s="23">
        <f>IF(I22 &lt; 30000,I22*Eingaben!$C$23/100,30000*Eingaben!$C$23/100)</f>
        <v>15000</v>
      </c>
      <c r="J23" s="23">
        <f>IF(J22 &lt; 30000,J22*Eingaben!$C$23/100,30000*Eingaben!$C$23/100)</f>
        <v>12078.5</v>
      </c>
      <c r="L23" s="4"/>
      <c r="M23" s="5"/>
      <c r="N23" s="5">
        <f>N22*Eingaben!$C$23/100</f>
        <v>15719.9</v>
      </c>
      <c r="O23" s="5">
        <f>O22*Eingaben!$C$25/100</f>
        <v>18831.75</v>
      </c>
      <c r="P23" s="5"/>
      <c r="Q23" s="5">
        <f t="shared" ref="Q23" si="33">G23</f>
        <v>15000</v>
      </c>
      <c r="R23" s="5">
        <f t="shared" ref="R23" si="34">H23</f>
        <v>15000</v>
      </c>
      <c r="S23" s="5">
        <f>S22*Eingaben!$C$23/100</f>
        <v>15719.9</v>
      </c>
      <c r="T23" s="5">
        <f>T22*Eingaben!$C$23/100</f>
        <v>12078.5</v>
      </c>
      <c r="V23" s="4" t="s">
        <v>54</v>
      </c>
      <c r="W23" s="5"/>
      <c r="X23" s="5">
        <f>X22*Eingaben!$C$23/100</f>
        <v>15719.9</v>
      </c>
      <c r="Y23" s="5">
        <f>Y22*Eingaben!$C$25/100</f>
        <v>18831.75</v>
      </c>
      <c r="Z23" s="5"/>
      <c r="AA23" s="5">
        <f>G23</f>
        <v>15000</v>
      </c>
      <c r="AB23" s="5">
        <f>H23</f>
        <v>15000</v>
      </c>
      <c r="AC23" s="5">
        <f>AC22*Eingaben!$C$23/100</f>
        <v>15719.9</v>
      </c>
      <c r="AD23" s="5">
        <f>AD22*Eingaben!$C$23/100</f>
        <v>12078.5</v>
      </c>
    </row>
    <row r="24" spans="1:30" x14ac:dyDescent="0.25">
      <c r="B24" s="17" t="s">
        <v>55</v>
      </c>
      <c r="C24" s="25">
        <f t="shared" ref="C24:I24" si="35">C22-C23</f>
        <v>12673.5</v>
      </c>
      <c r="D24" s="25">
        <f t="shared" si="35"/>
        <v>16439.8</v>
      </c>
      <c r="E24" s="25">
        <f t="shared" si="35"/>
        <v>22663.5</v>
      </c>
      <c r="F24" s="25">
        <f t="shared" si="35"/>
        <v>13863.5</v>
      </c>
      <c r="G24" s="25">
        <f t="shared" si="35"/>
        <v>34508.76</v>
      </c>
      <c r="H24" s="25">
        <f t="shared" si="35"/>
        <v>29529.800000000003</v>
      </c>
      <c r="I24" s="25">
        <f t="shared" si="35"/>
        <v>16439.8</v>
      </c>
      <c r="J24" s="25">
        <f t="shared" ref="J24" si="36">J22-J23</f>
        <v>12078.5</v>
      </c>
      <c r="L24" s="6" t="s">
        <v>14</v>
      </c>
      <c r="M24" s="8">
        <f t="shared" ref="M24:S24" si="37">M22-M23</f>
        <v>12673.5</v>
      </c>
      <c r="N24" s="8">
        <f t="shared" si="37"/>
        <v>15719.9</v>
      </c>
      <c r="O24" s="8">
        <f t="shared" si="37"/>
        <v>18831.75</v>
      </c>
      <c r="P24" s="8">
        <f t="shared" si="37"/>
        <v>13863.5</v>
      </c>
      <c r="Q24" s="8">
        <f t="shared" si="37"/>
        <v>34508.76</v>
      </c>
      <c r="R24" s="8">
        <f t="shared" si="37"/>
        <v>29529.800000000003</v>
      </c>
      <c r="S24" s="8">
        <f t="shared" si="37"/>
        <v>15719.9</v>
      </c>
      <c r="T24" s="8">
        <f t="shared" ref="T24" si="38">T22-T23</f>
        <v>12078.5</v>
      </c>
      <c r="V24" s="6" t="s">
        <v>14</v>
      </c>
      <c r="W24" s="8">
        <f t="shared" ref="W24:AC24" si="39">W22-W23</f>
        <v>12673.5</v>
      </c>
      <c r="X24" s="8">
        <f t="shared" si="39"/>
        <v>15719.9</v>
      </c>
      <c r="Y24" s="8">
        <f t="shared" si="39"/>
        <v>18831.75</v>
      </c>
      <c r="Z24" s="8">
        <f t="shared" si="39"/>
        <v>13863.5</v>
      </c>
      <c r="AA24" s="8">
        <f t="shared" si="39"/>
        <v>34508.76</v>
      </c>
      <c r="AB24" s="8">
        <f t="shared" si="39"/>
        <v>29529.800000000003</v>
      </c>
      <c r="AC24" s="8">
        <f t="shared" si="39"/>
        <v>15719.9</v>
      </c>
      <c r="AD24" s="8">
        <f t="shared" ref="AD24" si="40">AD22-AD23</f>
        <v>12078.5</v>
      </c>
    </row>
    <row r="25" spans="1:30" x14ac:dyDescent="0.25">
      <c r="B25" s="4"/>
      <c r="C25" s="23"/>
      <c r="D25" s="23"/>
      <c r="E25" s="23"/>
      <c r="F25" s="22"/>
      <c r="G25" s="22"/>
      <c r="H25" s="22"/>
      <c r="I25" s="23"/>
      <c r="J25" s="23"/>
      <c r="L25" s="4"/>
      <c r="M25" s="5"/>
      <c r="N25" s="5"/>
      <c r="O25" s="5"/>
      <c r="S25" s="5"/>
      <c r="T25" s="5"/>
      <c r="V25" s="4"/>
      <c r="W25" s="5"/>
      <c r="X25" s="5"/>
      <c r="Y25" s="5"/>
      <c r="AC25" s="5"/>
    </row>
    <row r="26" spans="1:30" x14ac:dyDescent="0.25">
      <c r="B26" s="4"/>
      <c r="C26" s="22"/>
      <c r="D26" s="22"/>
      <c r="E26" s="22"/>
      <c r="F26" s="22"/>
      <c r="G26" s="22"/>
      <c r="H26" s="22"/>
      <c r="I26" s="22"/>
      <c r="J26" s="22"/>
      <c r="L26" s="4"/>
      <c r="V26" s="4"/>
    </row>
    <row r="27" spans="1:30" x14ac:dyDescent="0.25">
      <c r="A27" s="3" t="s">
        <v>15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30" x14ac:dyDescent="0.25">
      <c r="B28" s="4" t="s">
        <v>23</v>
      </c>
      <c r="C28" s="22">
        <v>250</v>
      </c>
      <c r="D28" s="22">
        <v>250</v>
      </c>
      <c r="E28" s="22">
        <v>450</v>
      </c>
      <c r="F28" s="22">
        <v>250</v>
      </c>
      <c r="G28" s="22">
        <v>250</v>
      </c>
      <c r="H28" s="22">
        <v>250</v>
      </c>
      <c r="I28" s="22">
        <v>250</v>
      </c>
      <c r="J28" s="22">
        <v>0</v>
      </c>
      <c r="L28" s="4" t="s">
        <v>23</v>
      </c>
      <c r="M28">
        <f>C28</f>
        <v>250</v>
      </c>
      <c r="N28">
        <f t="shared" ref="N28:N32" si="41">D28</f>
        <v>250</v>
      </c>
      <c r="O28">
        <f t="shared" ref="O28:O32" si="42">E28</f>
        <v>450</v>
      </c>
      <c r="P28">
        <f t="shared" ref="P28:P32" si="43">F28</f>
        <v>250</v>
      </c>
      <c r="Q28">
        <f t="shared" ref="Q28:Q32" si="44">G28</f>
        <v>250</v>
      </c>
      <c r="R28">
        <f t="shared" ref="R28:R32" si="45">H28</f>
        <v>250</v>
      </c>
      <c r="S28">
        <f t="shared" ref="S28:S32" si="46">I28</f>
        <v>250</v>
      </c>
      <c r="T28">
        <f>J28</f>
        <v>0</v>
      </c>
      <c r="V28" s="4" t="s">
        <v>23</v>
      </c>
      <c r="W28">
        <f>C28</f>
        <v>250</v>
      </c>
      <c r="X28">
        <f t="shared" ref="X28:X32" si="47">D28</f>
        <v>250</v>
      </c>
      <c r="Y28">
        <f t="shared" ref="Y28:Y32" si="48">E28</f>
        <v>450</v>
      </c>
      <c r="Z28">
        <f t="shared" ref="Z28:Z32" si="49">F28</f>
        <v>250</v>
      </c>
      <c r="AA28">
        <f t="shared" ref="AA28:AA32" si="50">G28</f>
        <v>250</v>
      </c>
      <c r="AB28">
        <f t="shared" ref="AB28:AB32" si="51">H28</f>
        <v>250</v>
      </c>
      <c r="AC28">
        <f t="shared" ref="AC28:AD32" si="52">I28</f>
        <v>250</v>
      </c>
      <c r="AD28">
        <f t="shared" si="52"/>
        <v>0</v>
      </c>
    </row>
    <row r="29" spans="1:30" x14ac:dyDescent="0.25">
      <c r="B29" s="4" t="s">
        <v>16</v>
      </c>
      <c r="C29" s="22">
        <v>50</v>
      </c>
      <c r="D29" s="22"/>
      <c r="E29" s="22">
        <v>100</v>
      </c>
      <c r="F29" s="22">
        <v>50</v>
      </c>
      <c r="G29" s="22"/>
      <c r="H29" s="22"/>
      <c r="I29" s="22"/>
      <c r="J29" s="22">
        <v>0</v>
      </c>
      <c r="L29" s="4" t="s">
        <v>16</v>
      </c>
      <c r="M29">
        <f t="shared" ref="M29:M32" si="53">C29</f>
        <v>50</v>
      </c>
      <c r="N29">
        <f t="shared" si="41"/>
        <v>0</v>
      </c>
      <c r="O29">
        <f t="shared" si="42"/>
        <v>100</v>
      </c>
      <c r="P29">
        <f t="shared" si="43"/>
        <v>50</v>
      </c>
      <c r="Q29">
        <f t="shared" si="44"/>
        <v>0</v>
      </c>
      <c r="R29">
        <f t="shared" si="45"/>
        <v>0</v>
      </c>
      <c r="S29">
        <f t="shared" si="46"/>
        <v>0</v>
      </c>
      <c r="T29">
        <f t="shared" ref="T29:T32" si="54">J29</f>
        <v>0</v>
      </c>
      <c r="V29" s="4" t="s">
        <v>16</v>
      </c>
      <c r="W29">
        <f t="shared" ref="W29:W32" si="55">C29</f>
        <v>50</v>
      </c>
      <c r="X29">
        <f t="shared" si="47"/>
        <v>0</v>
      </c>
      <c r="Y29">
        <f t="shared" si="48"/>
        <v>100</v>
      </c>
      <c r="Z29">
        <f t="shared" si="49"/>
        <v>50</v>
      </c>
      <c r="AA29">
        <f t="shared" si="50"/>
        <v>0</v>
      </c>
      <c r="AB29">
        <f t="shared" si="51"/>
        <v>0</v>
      </c>
      <c r="AC29">
        <f t="shared" si="52"/>
        <v>0</v>
      </c>
      <c r="AD29">
        <f t="shared" si="52"/>
        <v>0</v>
      </c>
    </row>
    <row r="30" spans="1:30" x14ac:dyDescent="0.25">
      <c r="B30" s="4" t="s">
        <v>24</v>
      </c>
      <c r="C30" s="22">
        <v>300</v>
      </c>
      <c r="D30" s="4">
        <v>300</v>
      </c>
      <c r="E30" s="22">
        <v>300</v>
      </c>
      <c r="F30" s="22">
        <v>300</v>
      </c>
      <c r="G30" s="22">
        <v>300</v>
      </c>
      <c r="H30" s="22">
        <v>300</v>
      </c>
      <c r="I30" s="4">
        <v>300</v>
      </c>
      <c r="J30" s="4">
        <v>0</v>
      </c>
      <c r="L30" s="4" t="s">
        <v>24</v>
      </c>
      <c r="M30">
        <f t="shared" si="53"/>
        <v>300</v>
      </c>
      <c r="N30">
        <f t="shared" si="41"/>
        <v>300</v>
      </c>
      <c r="O30">
        <f t="shared" si="42"/>
        <v>300</v>
      </c>
      <c r="P30">
        <f t="shared" si="43"/>
        <v>300</v>
      </c>
      <c r="Q30">
        <f t="shared" si="44"/>
        <v>300</v>
      </c>
      <c r="R30">
        <f t="shared" si="45"/>
        <v>300</v>
      </c>
      <c r="S30">
        <f t="shared" si="46"/>
        <v>300</v>
      </c>
      <c r="T30">
        <f t="shared" si="54"/>
        <v>0</v>
      </c>
      <c r="V30" s="4" t="s">
        <v>24</v>
      </c>
      <c r="W30">
        <f t="shared" si="55"/>
        <v>300</v>
      </c>
      <c r="X30">
        <f t="shared" si="47"/>
        <v>300</v>
      </c>
      <c r="Y30">
        <f t="shared" si="48"/>
        <v>300</v>
      </c>
      <c r="Z30">
        <f t="shared" si="49"/>
        <v>300</v>
      </c>
      <c r="AA30">
        <f t="shared" si="50"/>
        <v>300</v>
      </c>
      <c r="AB30">
        <f t="shared" si="51"/>
        <v>300</v>
      </c>
      <c r="AC30">
        <f t="shared" si="52"/>
        <v>300</v>
      </c>
      <c r="AD30">
        <f t="shared" si="52"/>
        <v>0</v>
      </c>
    </row>
    <row r="31" spans="1:30" x14ac:dyDescent="0.25">
      <c r="B31" s="4" t="s">
        <v>77</v>
      </c>
      <c r="C31" s="22">
        <v>150</v>
      </c>
      <c r="D31" s="4"/>
      <c r="E31" s="22"/>
      <c r="F31" s="22">
        <v>150</v>
      </c>
      <c r="G31" s="22"/>
      <c r="H31" s="22"/>
      <c r="I31" s="4"/>
      <c r="J31" s="4">
        <v>0</v>
      </c>
      <c r="L31" s="4" t="s">
        <v>77</v>
      </c>
      <c r="M31">
        <f t="shared" ref="M31" si="56">C31</f>
        <v>150</v>
      </c>
      <c r="N31">
        <f t="shared" ref="N31" si="57">D31</f>
        <v>0</v>
      </c>
      <c r="O31">
        <f t="shared" ref="O31" si="58">E31</f>
        <v>0</v>
      </c>
      <c r="P31">
        <f t="shared" ref="P31" si="59">F31</f>
        <v>150</v>
      </c>
      <c r="Q31">
        <f t="shared" ref="Q31" si="60">G31</f>
        <v>0</v>
      </c>
      <c r="R31">
        <f t="shared" ref="R31" si="61">H31</f>
        <v>0</v>
      </c>
      <c r="S31">
        <f t="shared" ref="S31" si="62">I31</f>
        <v>0</v>
      </c>
      <c r="T31">
        <f t="shared" si="54"/>
        <v>0</v>
      </c>
      <c r="V31" s="4" t="s">
        <v>77</v>
      </c>
      <c r="W31">
        <f t="shared" ref="W31" si="63">M31</f>
        <v>150</v>
      </c>
      <c r="X31">
        <f t="shared" ref="X31" si="64">N31</f>
        <v>0</v>
      </c>
      <c r="Y31">
        <f t="shared" ref="Y31" si="65">O31</f>
        <v>0</v>
      </c>
      <c r="Z31">
        <f t="shared" ref="Z31" si="66">P31</f>
        <v>150</v>
      </c>
      <c r="AA31">
        <f t="shared" ref="AA31" si="67">Q31</f>
        <v>0</v>
      </c>
      <c r="AB31">
        <f t="shared" ref="AB31" si="68">R31</f>
        <v>0</v>
      </c>
      <c r="AC31">
        <f t="shared" ref="AC31:AD31" si="69">S31</f>
        <v>0</v>
      </c>
      <c r="AD31">
        <f t="shared" si="69"/>
        <v>0</v>
      </c>
    </row>
    <row r="32" spans="1:30" x14ac:dyDescent="0.25">
      <c r="B32" s="4" t="s">
        <v>17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L32" s="4" t="s">
        <v>17</v>
      </c>
      <c r="M32">
        <f t="shared" si="53"/>
        <v>0</v>
      </c>
      <c r="N32">
        <f t="shared" si="41"/>
        <v>0</v>
      </c>
      <c r="O32">
        <f t="shared" si="42"/>
        <v>0</v>
      </c>
      <c r="P32">
        <f t="shared" si="43"/>
        <v>0</v>
      </c>
      <c r="Q32">
        <f t="shared" si="44"/>
        <v>0</v>
      </c>
      <c r="R32">
        <f t="shared" si="45"/>
        <v>0</v>
      </c>
      <c r="S32">
        <f t="shared" si="46"/>
        <v>0</v>
      </c>
      <c r="T32">
        <f t="shared" si="54"/>
        <v>0</v>
      </c>
      <c r="V32" s="4" t="s">
        <v>17</v>
      </c>
      <c r="W32">
        <f t="shared" si="55"/>
        <v>0</v>
      </c>
      <c r="X32">
        <f t="shared" si="47"/>
        <v>0</v>
      </c>
      <c r="Y32">
        <f t="shared" si="48"/>
        <v>0</v>
      </c>
      <c r="Z32">
        <f t="shared" si="49"/>
        <v>0</v>
      </c>
      <c r="AA32">
        <f t="shared" si="50"/>
        <v>0</v>
      </c>
      <c r="AB32">
        <f t="shared" si="51"/>
        <v>0</v>
      </c>
      <c r="AC32">
        <f t="shared" si="52"/>
        <v>0</v>
      </c>
      <c r="AD32">
        <f t="shared" si="52"/>
        <v>0</v>
      </c>
    </row>
    <row r="33" spans="1:30" x14ac:dyDescent="0.25">
      <c r="A33" s="2"/>
      <c r="B33" s="18" t="s">
        <v>56</v>
      </c>
      <c r="C33" s="26">
        <f t="shared" ref="C33:J33" si="70">SUM(C28:C32)</f>
        <v>750</v>
      </c>
      <c r="D33" s="26">
        <f t="shared" si="70"/>
        <v>550</v>
      </c>
      <c r="E33" s="26">
        <f t="shared" si="70"/>
        <v>850</v>
      </c>
      <c r="F33" s="26">
        <f t="shared" si="70"/>
        <v>750</v>
      </c>
      <c r="G33" s="26">
        <f t="shared" si="70"/>
        <v>550</v>
      </c>
      <c r="H33" s="26">
        <f t="shared" si="70"/>
        <v>550</v>
      </c>
      <c r="I33" s="26">
        <f t="shared" si="70"/>
        <v>550</v>
      </c>
      <c r="J33" s="26">
        <f t="shared" si="70"/>
        <v>0</v>
      </c>
      <c r="L33" s="11" t="s">
        <v>38</v>
      </c>
      <c r="M33" s="12">
        <f>SUM(M28:M32)*Eingaben!H8</f>
        <v>932.23027349188294</v>
      </c>
      <c r="N33" s="12">
        <f>SUM(N28:N32)*Eingaben!H8</f>
        <v>683.63553389404751</v>
      </c>
      <c r="O33" s="12">
        <f>SUM(O28:O32)*Eingaben!H8</f>
        <v>1056.5276432908006</v>
      </c>
      <c r="P33" s="12">
        <f>SUM(P28:P32)*Eingaben!H8</f>
        <v>932.23027349188294</v>
      </c>
      <c r="Q33" s="12">
        <f>SUM(Q28:Q32)*Eingaben!H8</f>
        <v>683.63553389404751</v>
      </c>
      <c r="R33" s="12">
        <f>SUM(R28:R32)*Eingaben!H8</f>
        <v>683.63553389404751</v>
      </c>
      <c r="S33" s="12">
        <f>SUM(S28:S32)*Eingaben!H8</f>
        <v>683.63553389404751</v>
      </c>
      <c r="T33" s="12">
        <f>SUM(T28:T32)*Eingaben!I8</f>
        <v>0</v>
      </c>
      <c r="V33" s="11" t="s">
        <v>38</v>
      </c>
      <c r="W33" s="12">
        <f>SUM(W28:W32)*Eingaben!I8</f>
        <v>1196.6711786375329</v>
      </c>
      <c r="X33" s="12">
        <f>SUM(X28:X32)*Eingaben!I8</f>
        <v>877.55886433419084</v>
      </c>
      <c r="Y33" s="12">
        <f>SUM(Y28:Y32)*Eingaben!I8</f>
        <v>1356.2273357892041</v>
      </c>
      <c r="Z33" s="12">
        <f>SUM(Z28:Z32)*Eingaben!I8</f>
        <v>1196.6711786375329</v>
      </c>
      <c r="AA33" s="12">
        <f>SUM(AA28:AA32)*Eingaben!I8</f>
        <v>877.55886433419084</v>
      </c>
      <c r="AB33" s="12">
        <f>SUM(AB28:AB32)*Eingaben!I8</f>
        <v>877.55886433419084</v>
      </c>
      <c r="AC33" s="12">
        <f>SUM(AC28:AC32)*Eingaben!I8</f>
        <v>877.55886433419084</v>
      </c>
      <c r="AD33" s="12">
        <f>SUM(AD28:AD32)*Eingaben!J8</f>
        <v>0</v>
      </c>
    </row>
    <row r="34" spans="1:30" x14ac:dyDescent="0.25">
      <c r="B34" s="4"/>
      <c r="C34" s="22"/>
      <c r="D34" s="22"/>
      <c r="E34" s="22"/>
      <c r="F34" s="22"/>
      <c r="G34" s="22"/>
      <c r="H34" s="22"/>
      <c r="I34" s="22"/>
      <c r="J34" s="22"/>
      <c r="L34" s="4"/>
      <c r="V34" s="4"/>
    </row>
    <row r="35" spans="1:30" x14ac:dyDescent="0.25">
      <c r="A35" s="3" t="s">
        <v>18</v>
      </c>
      <c r="B35" s="22"/>
      <c r="C35" s="22"/>
      <c r="D35" s="22"/>
      <c r="E35" s="22"/>
      <c r="F35" s="22"/>
      <c r="G35" s="22"/>
      <c r="H35" s="22"/>
      <c r="I35" s="22"/>
      <c r="J35" s="22"/>
    </row>
    <row r="36" spans="1:30" x14ac:dyDescent="0.25">
      <c r="B36" s="4" t="s">
        <v>32</v>
      </c>
      <c r="C36" s="23">
        <f>Eingaben!$C$13</f>
        <v>20000</v>
      </c>
      <c r="D36" s="23">
        <f>C36/Eingaben!$C$21</f>
        <v>5555.5555555555557</v>
      </c>
      <c r="E36" s="23">
        <f>C36*1.1</f>
        <v>22000</v>
      </c>
      <c r="F36" s="23">
        <f>C36</f>
        <v>20000</v>
      </c>
      <c r="G36" s="23">
        <f>C36/(Eingaben!$C$21+1)</f>
        <v>4347.826086956522</v>
      </c>
      <c r="H36" s="23">
        <f>C36/(Eingaben!$C$21+0.7)</f>
        <v>4651.1627906976746</v>
      </c>
      <c r="I36" s="23">
        <f>C36/Eingaben!$C$21</f>
        <v>5555.5555555555557</v>
      </c>
      <c r="J36" s="23">
        <f>Eingaben!C13</f>
        <v>20000</v>
      </c>
      <c r="L36" s="4" t="s">
        <v>32</v>
      </c>
      <c r="M36" s="5">
        <f>C36</f>
        <v>20000</v>
      </c>
      <c r="N36" s="5">
        <f t="shared" ref="N36:N41" si="71">D36</f>
        <v>5555.5555555555557</v>
      </c>
      <c r="O36" s="5">
        <f t="shared" ref="O36:O41" si="72">E36</f>
        <v>22000</v>
      </c>
      <c r="P36" s="5">
        <f t="shared" ref="P36:P41" si="73">F36</f>
        <v>20000</v>
      </c>
      <c r="Q36" s="5">
        <f t="shared" ref="Q36:Q41" si="74">G36</f>
        <v>4347.826086956522</v>
      </c>
      <c r="R36" s="5">
        <f t="shared" ref="R36:R41" si="75">H36</f>
        <v>4651.1627906976746</v>
      </c>
      <c r="S36" s="5">
        <f t="shared" ref="S36:T41" si="76">I36</f>
        <v>5555.5555555555557</v>
      </c>
      <c r="T36" s="5">
        <f t="shared" si="76"/>
        <v>20000</v>
      </c>
      <c r="V36" s="4" t="s">
        <v>32</v>
      </c>
      <c r="W36" s="5">
        <f>C36</f>
        <v>20000</v>
      </c>
      <c r="X36" s="5">
        <f t="shared" ref="X36:X41" si="77">D36</f>
        <v>5555.5555555555557</v>
      </c>
      <c r="Y36" s="5">
        <f t="shared" ref="Y36:Y41" si="78">E36</f>
        <v>22000</v>
      </c>
      <c r="Z36" s="5">
        <f t="shared" ref="Z36:Z41" si="79">F36</f>
        <v>20000</v>
      </c>
      <c r="AA36" s="5">
        <f t="shared" ref="AA36:AA41" si="80">G36</f>
        <v>4347.826086956522</v>
      </c>
      <c r="AB36" s="5">
        <f t="shared" ref="AB36:AB41" si="81">H36</f>
        <v>4651.1627906976746</v>
      </c>
      <c r="AC36" s="5">
        <f t="shared" ref="AC36:AD41" si="82">I36</f>
        <v>5555.5555555555557</v>
      </c>
      <c r="AD36" s="5">
        <f t="shared" si="82"/>
        <v>20000</v>
      </c>
    </row>
    <row r="37" spans="1:30" x14ac:dyDescent="0.25">
      <c r="B37" s="4" t="s">
        <v>61</v>
      </c>
      <c r="C37" s="23">
        <f>Eingaben!$C$14</f>
        <v>8000</v>
      </c>
      <c r="D37" s="23">
        <f>C37/Eingaben!$C$21</f>
        <v>2222.2222222222222</v>
      </c>
      <c r="E37" s="23">
        <f>C37*1.1</f>
        <v>8800</v>
      </c>
      <c r="F37" s="23">
        <f>C37</f>
        <v>8000</v>
      </c>
      <c r="G37" s="23">
        <f>C37/(Eingaben!$C$21+1)</f>
        <v>1739.1304347826087</v>
      </c>
      <c r="H37" s="23">
        <f>C37/(Eingaben!$C$21+0.7)</f>
        <v>1860.4651162790699</v>
      </c>
      <c r="I37" s="23">
        <f>C37/Eingaben!$C$21</f>
        <v>2222.2222222222222</v>
      </c>
      <c r="J37" s="23">
        <f>Eingaben!C14</f>
        <v>8000</v>
      </c>
      <c r="L37" s="4" t="s">
        <v>33</v>
      </c>
      <c r="M37" s="5">
        <f t="shared" ref="M37:M41" si="83">C37</f>
        <v>8000</v>
      </c>
      <c r="N37" s="5">
        <f t="shared" si="71"/>
        <v>2222.2222222222222</v>
      </c>
      <c r="O37" s="5">
        <f t="shared" si="72"/>
        <v>8800</v>
      </c>
      <c r="P37" s="5">
        <f t="shared" si="73"/>
        <v>8000</v>
      </c>
      <c r="Q37" s="5">
        <f t="shared" si="74"/>
        <v>1739.1304347826087</v>
      </c>
      <c r="R37" s="5">
        <f t="shared" si="75"/>
        <v>1860.4651162790699</v>
      </c>
      <c r="S37" s="5">
        <f t="shared" si="76"/>
        <v>2222.2222222222222</v>
      </c>
      <c r="T37" s="5">
        <f t="shared" si="76"/>
        <v>8000</v>
      </c>
      <c r="V37" s="4" t="s">
        <v>33</v>
      </c>
      <c r="W37" s="5">
        <f t="shared" ref="W37:W41" si="84">C37</f>
        <v>8000</v>
      </c>
      <c r="X37" s="5">
        <f t="shared" si="77"/>
        <v>2222.2222222222222</v>
      </c>
      <c r="Y37" s="5">
        <f t="shared" si="78"/>
        <v>8800</v>
      </c>
      <c r="Z37" s="5">
        <f t="shared" si="79"/>
        <v>8000</v>
      </c>
      <c r="AA37" s="5">
        <f t="shared" si="80"/>
        <v>1739.1304347826087</v>
      </c>
      <c r="AB37" s="5">
        <f t="shared" si="81"/>
        <v>1860.4651162790699</v>
      </c>
      <c r="AC37" s="5">
        <f t="shared" si="82"/>
        <v>2222.2222222222222</v>
      </c>
      <c r="AD37" s="5">
        <f t="shared" si="82"/>
        <v>8000</v>
      </c>
    </row>
    <row r="38" spans="1:30" x14ac:dyDescent="0.25">
      <c r="B38" s="10" t="s">
        <v>0</v>
      </c>
      <c r="C38" s="23">
        <f>C36+C37</f>
        <v>28000</v>
      </c>
      <c r="D38" s="22"/>
      <c r="E38" s="28"/>
      <c r="F38" s="23">
        <f>F36+F37/3</f>
        <v>22666.666666666668</v>
      </c>
      <c r="G38" s="23"/>
      <c r="H38" s="23"/>
      <c r="I38" s="22"/>
      <c r="J38" s="22"/>
      <c r="L38" s="10" t="s">
        <v>0</v>
      </c>
      <c r="M38" s="5">
        <f t="shared" si="83"/>
        <v>28000</v>
      </c>
      <c r="N38" s="5">
        <f t="shared" si="71"/>
        <v>0</v>
      </c>
      <c r="O38" s="5">
        <f t="shared" si="72"/>
        <v>0</v>
      </c>
      <c r="P38" s="5">
        <f t="shared" si="73"/>
        <v>22666.666666666668</v>
      </c>
      <c r="Q38" s="5">
        <f t="shared" si="74"/>
        <v>0</v>
      </c>
      <c r="R38" s="5">
        <f t="shared" si="75"/>
        <v>0</v>
      </c>
      <c r="S38" s="5">
        <f t="shared" si="76"/>
        <v>0</v>
      </c>
      <c r="T38" s="5">
        <f t="shared" si="76"/>
        <v>0</v>
      </c>
      <c r="V38" s="10" t="s">
        <v>0</v>
      </c>
      <c r="W38" s="5">
        <f t="shared" si="84"/>
        <v>28000</v>
      </c>
      <c r="X38" s="5">
        <f t="shared" si="77"/>
        <v>0</v>
      </c>
      <c r="Y38" s="5">
        <f t="shared" si="78"/>
        <v>0</v>
      </c>
      <c r="Z38" s="5">
        <f t="shared" si="79"/>
        <v>22666.666666666668</v>
      </c>
      <c r="AA38" s="5">
        <f t="shared" si="80"/>
        <v>0</v>
      </c>
      <c r="AB38" s="5">
        <f t="shared" si="81"/>
        <v>0</v>
      </c>
      <c r="AC38" s="5">
        <f t="shared" si="82"/>
        <v>0</v>
      </c>
      <c r="AD38" s="5">
        <f t="shared" si="82"/>
        <v>0</v>
      </c>
    </row>
    <row r="39" spans="1:30" x14ac:dyDescent="0.25">
      <c r="B39" s="10" t="s">
        <v>34</v>
      </c>
      <c r="C39" s="22"/>
      <c r="D39" s="23">
        <f>D36+D37</f>
        <v>7777.7777777777774</v>
      </c>
      <c r="E39" s="22"/>
      <c r="F39" s="23"/>
      <c r="G39" s="23">
        <f ca="1">G36+G37-G40</f>
        <v>4791.7860305573322</v>
      </c>
      <c r="H39" s="23">
        <f ca="1">H36+H37-H40</f>
        <v>5126.0966838520299</v>
      </c>
      <c r="I39" s="23">
        <f ca="1">I36+I37-I40</f>
        <v>6122.8377057121461</v>
      </c>
      <c r="J39" s="23">
        <f>(J36+J37)/3*2</f>
        <v>18666.666666666668</v>
      </c>
      <c r="L39" s="10" t="s">
        <v>34</v>
      </c>
      <c r="M39" s="5">
        <f t="shared" si="83"/>
        <v>0</v>
      </c>
      <c r="N39" s="5">
        <f t="shared" si="71"/>
        <v>7777.7777777777774</v>
      </c>
      <c r="O39" s="5">
        <f t="shared" si="72"/>
        <v>0</v>
      </c>
      <c r="P39" s="5">
        <f t="shared" si="73"/>
        <v>0</v>
      </c>
      <c r="Q39" s="5">
        <f t="shared" ref="Q39:S40" ca="1" si="85">G39</f>
        <v>4791.7860305573322</v>
      </c>
      <c r="R39" s="5">
        <f t="shared" ca="1" si="85"/>
        <v>5126.0966838520299</v>
      </c>
      <c r="S39" s="5">
        <f t="shared" ca="1" si="85"/>
        <v>6122.8377057121461</v>
      </c>
      <c r="T39" s="5">
        <f t="shared" si="76"/>
        <v>18666.666666666668</v>
      </c>
      <c r="V39" s="10" t="s">
        <v>34</v>
      </c>
      <c r="W39" s="5">
        <f t="shared" si="84"/>
        <v>0</v>
      </c>
      <c r="X39" s="5">
        <f t="shared" si="77"/>
        <v>7777.7777777777774</v>
      </c>
      <c r="Y39" s="5">
        <f t="shared" si="78"/>
        <v>0</v>
      </c>
      <c r="Z39" s="5">
        <f t="shared" si="79"/>
        <v>0</v>
      </c>
      <c r="AA39" s="5">
        <f t="shared" ref="AA39:AC40" ca="1" si="86">G39</f>
        <v>4791.7860305573322</v>
      </c>
      <c r="AB39" s="5">
        <f t="shared" ca="1" si="86"/>
        <v>5126.0966838520299</v>
      </c>
      <c r="AC39" s="5">
        <f t="shared" ca="1" si="86"/>
        <v>6122.8377057121461</v>
      </c>
      <c r="AD39" s="5">
        <f t="shared" si="82"/>
        <v>18666.666666666668</v>
      </c>
    </row>
    <row r="40" spans="1:30" x14ac:dyDescent="0.25">
      <c r="B40" s="10" t="s">
        <v>182</v>
      </c>
      <c r="C40" s="22"/>
      <c r="D40" s="23"/>
      <c r="E40" s="22"/>
      <c r="F40" s="23">
        <f>F37/3*2</f>
        <v>5333.333333333333</v>
      </c>
      <c r="G40" s="23">
        <f ca="1">(G36*Simulation!$B$47+G37*Simulation!$B$46)</f>
        <v>1295.1704911817983</v>
      </c>
      <c r="H40" s="23">
        <f ca="1">(H36*Simulation!$B$47+H37*Simulation!$B$46)</f>
        <v>1385.5312231247146</v>
      </c>
      <c r="I40" s="23">
        <f ca="1">(I36*Simulation!$B$47+I37*Simulation!$B$46)</f>
        <v>1654.9400720656313</v>
      </c>
      <c r="J40" s="27">
        <f>J39/2</f>
        <v>9333.3333333333339</v>
      </c>
      <c r="L40" s="10" t="s">
        <v>35</v>
      </c>
      <c r="M40" s="5">
        <f t="shared" si="83"/>
        <v>0</v>
      </c>
      <c r="N40" s="5">
        <f t="shared" si="71"/>
        <v>0</v>
      </c>
      <c r="O40" s="5">
        <f t="shared" si="72"/>
        <v>0</v>
      </c>
      <c r="P40" s="5">
        <f t="shared" si="73"/>
        <v>5333.333333333333</v>
      </c>
      <c r="Q40" s="5">
        <f t="shared" ca="1" si="85"/>
        <v>1295.1704911817983</v>
      </c>
      <c r="R40" s="5">
        <f t="shared" ca="1" si="85"/>
        <v>1385.5312231247146</v>
      </c>
      <c r="S40" s="5">
        <f t="shared" ca="1" si="85"/>
        <v>1654.9400720656313</v>
      </c>
      <c r="T40" s="5">
        <f t="shared" si="76"/>
        <v>9333.3333333333339</v>
      </c>
      <c r="V40" s="10" t="s">
        <v>35</v>
      </c>
      <c r="W40" s="5">
        <f t="shared" si="84"/>
        <v>0</v>
      </c>
      <c r="X40" s="5">
        <f t="shared" si="77"/>
        <v>0</v>
      </c>
      <c r="Y40" s="5">
        <f t="shared" si="78"/>
        <v>0</v>
      </c>
      <c r="Z40" s="5">
        <f t="shared" si="79"/>
        <v>5333.333333333333</v>
      </c>
      <c r="AA40" s="5">
        <f t="shared" ca="1" si="86"/>
        <v>1295.1704911817983</v>
      </c>
      <c r="AB40" s="5">
        <f t="shared" ca="1" si="86"/>
        <v>1385.5312231247146</v>
      </c>
      <c r="AC40" s="5">
        <f t="shared" ca="1" si="86"/>
        <v>1654.9400720656313</v>
      </c>
      <c r="AD40" s="5">
        <f t="shared" si="82"/>
        <v>9333.3333333333339</v>
      </c>
    </row>
    <row r="41" spans="1:30" x14ac:dyDescent="0.25">
      <c r="B41" s="10" t="s">
        <v>1</v>
      </c>
      <c r="C41" s="22"/>
      <c r="D41" s="22"/>
      <c r="E41" s="23">
        <f>E36+E37</f>
        <v>30800</v>
      </c>
      <c r="F41" s="22"/>
      <c r="G41" s="22"/>
      <c r="H41" s="22"/>
      <c r="I41" s="22"/>
      <c r="J41" s="22"/>
      <c r="L41" s="10" t="s">
        <v>1</v>
      </c>
      <c r="M41" s="5">
        <f t="shared" si="83"/>
        <v>0</v>
      </c>
      <c r="N41" s="5">
        <f t="shared" si="71"/>
        <v>0</v>
      </c>
      <c r="O41" s="5">
        <f t="shared" si="72"/>
        <v>30800</v>
      </c>
      <c r="P41" s="5">
        <f t="shared" si="73"/>
        <v>0</v>
      </c>
      <c r="Q41" s="5">
        <f t="shared" si="74"/>
        <v>0</v>
      </c>
      <c r="R41" s="5">
        <f t="shared" si="75"/>
        <v>0</v>
      </c>
      <c r="S41" s="5">
        <f t="shared" si="76"/>
        <v>0</v>
      </c>
      <c r="T41" s="5">
        <f t="shared" si="76"/>
        <v>0</v>
      </c>
      <c r="V41" s="10" t="s">
        <v>1</v>
      </c>
      <c r="W41" s="5">
        <f t="shared" si="84"/>
        <v>0</v>
      </c>
      <c r="X41" s="5">
        <f t="shared" si="77"/>
        <v>0</v>
      </c>
      <c r="Y41" s="5">
        <f t="shared" si="78"/>
        <v>30800</v>
      </c>
      <c r="Z41" s="5">
        <f t="shared" si="79"/>
        <v>0</v>
      </c>
      <c r="AA41" s="5">
        <f t="shared" si="80"/>
        <v>0</v>
      </c>
      <c r="AB41" s="5">
        <f t="shared" si="81"/>
        <v>0</v>
      </c>
      <c r="AC41" s="5">
        <f t="shared" si="82"/>
        <v>0</v>
      </c>
      <c r="AD41" s="5">
        <f t="shared" si="82"/>
        <v>0</v>
      </c>
    </row>
    <row r="42" spans="1:30" x14ac:dyDescent="0.25">
      <c r="B42" s="18" t="s">
        <v>57</v>
      </c>
      <c r="C42" s="29">
        <f>C38*Eingaben!$C$7</f>
        <v>2520</v>
      </c>
      <c r="D42" s="29">
        <f>D39*Eingaben!$C$8</f>
        <v>2333.333333333333</v>
      </c>
      <c r="E42" s="29">
        <f>E41*Eingaben!$C$9</f>
        <v>1668.3333333333335</v>
      </c>
      <c r="F42" s="29">
        <f>F38*Eingaben!$C$7+F39*Eingaben!$C$7+F40*Eingaben!$C$10</f>
        <v>2626.6666666666665</v>
      </c>
      <c r="G42" s="29">
        <f ca="1">G39*Eingaben!$C$8+G40*Eingaben!$C$10</f>
        <v>1580.0045631971975</v>
      </c>
      <c r="H42" s="29">
        <f ca="1">H39*Eingaben!$C$8+H40*Eingaben!$C$10</f>
        <v>1690.2374396993275</v>
      </c>
      <c r="I42" s="29">
        <f ca="1">I39*Eingaben!$C$8+I40*Eingaben!$C$10</f>
        <v>2018.8947196408633</v>
      </c>
      <c r="J42" s="29">
        <f>J39*Eingaben!$C$8+J40*Eingaben!$C$10</f>
        <v>6626.666666666667</v>
      </c>
      <c r="L42" s="11" t="s">
        <v>37</v>
      </c>
      <c r="M42" s="7">
        <f>M38*Eingaben!$C$7*Eingaben!H8</f>
        <v>3132.2937189327267</v>
      </c>
      <c r="N42" s="7">
        <f>N39*Eingaben!$C$8*Eingaben!H9</f>
        <v>2900.2719619747463</v>
      </c>
      <c r="O42" s="7">
        <f>O41*Eingaben!$C$9*Eingaben!H10</f>
        <v>2073.6944528119443</v>
      </c>
      <c r="P42" s="7">
        <f>P38*Eingaben!$C$7*Eingaben!H8+P40*Eingaben!$C$10</f>
        <v>3122.3330105645882</v>
      </c>
      <c r="Q42" s="7">
        <f ca="1">G39*Eingaben!$C$8*Eingaben!H9+G40*Eingaben!$C$10</f>
        <v>1929.2879547424161</v>
      </c>
      <c r="R42" s="7">
        <f ca="1">H39*Eingaben!$C$8*Eingaben!H9+H40*Eingaben!$C$10</f>
        <v>2063.8894399570036</v>
      </c>
      <c r="S42" s="7">
        <f ca="1">S39*Eingaben!$C$8*Eingaben!H9+S40*Eingaben!$C$10</f>
        <v>2465.2012755041983</v>
      </c>
      <c r="T42" s="7">
        <f>T39*Eingaben!$C$8*Eingaben!H9+T40*Eingaben!$C$10</f>
        <v>7987.3193754060594</v>
      </c>
      <c r="V42" s="11" t="s">
        <v>37</v>
      </c>
      <c r="W42" s="7">
        <f>W38*Eingaben!$C$7*Eingaben!I8</f>
        <v>4020.815160222111</v>
      </c>
      <c r="X42" s="7">
        <f>X39*Eingaben!$C$8*Eingaben!I9</f>
        <v>3722.9770002056575</v>
      </c>
      <c r="Y42" s="7">
        <f>Y41*Eingaben!$C$9*Eingaben!I10</f>
        <v>2661.9285551470457</v>
      </c>
      <c r="Z42" s="7">
        <f>Z38*Eingaben!$C$7*Eingaben!I8+Z40*Eingaben!$C$10</f>
        <v>3841.6122725607561</v>
      </c>
      <c r="AA42" s="7">
        <f ca="1">AA39*Eingaben!$C$8*Eingaben!I9+AA40*Eingaben!$C$10</f>
        <v>2436.1456488163612</v>
      </c>
      <c r="AB42" s="7">
        <f ca="1">AB39*Eingaben!$C$8*Eingaben!I9+AB40*Eingaben!$C$10</f>
        <v>2606.1092987337815</v>
      </c>
      <c r="AC42" s="7">
        <f ca="1">AC39*Eingaben!$C$8*Eingaben!I9+AC40*Eingaben!$C$10</f>
        <v>3112.8527734875724</v>
      </c>
      <c r="AD42" s="7">
        <f>AD39*Eingaben!$C$8*Eingaben!I9+AD40*Eingaben!$C$10</f>
        <v>9961.8114671602452</v>
      </c>
    </row>
    <row r="43" spans="1:30" x14ac:dyDescent="0.25">
      <c r="B43" s="22"/>
      <c r="C43" s="22"/>
      <c r="D43" s="22"/>
      <c r="E43" s="4"/>
      <c r="F43" s="22"/>
      <c r="G43" s="22"/>
      <c r="H43" s="22"/>
      <c r="I43" s="22"/>
      <c r="J43" s="22"/>
      <c r="L43" s="4"/>
      <c r="M43" s="5"/>
      <c r="N43" s="5"/>
      <c r="O43" s="5"/>
      <c r="P43" s="5"/>
      <c r="Q43" s="5"/>
      <c r="R43" s="5"/>
      <c r="S43" s="5"/>
      <c r="T43" s="5"/>
      <c r="V43" s="4"/>
      <c r="W43" s="5"/>
      <c r="X43" s="5"/>
      <c r="Y43" s="5"/>
      <c r="Z43" s="5"/>
      <c r="AA43" s="5"/>
      <c r="AB43" s="5"/>
      <c r="AC43" s="5"/>
    </row>
    <row r="44" spans="1:30" x14ac:dyDescent="0.25">
      <c r="B44" s="22"/>
      <c r="C44" s="22"/>
      <c r="D44" s="22"/>
      <c r="E44" s="4"/>
      <c r="F44" s="22"/>
      <c r="G44" s="22"/>
      <c r="H44" s="22"/>
      <c r="I44" s="22"/>
      <c r="J44" s="22"/>
      <c r="L44" s="4"/>
      <c r="M44" s="5"/>
      <c r="N44" s="5"/>
      <c r="O44" s="5"/>
      <c r="P44" s="5"/>
      <c r="Q44" s="5"/>
      <c r="R44" s="5"/>
      <c r="S44" s="5"/>
      <c r="T44" s="5"/>
      <c r="V44" s="4"/>
      <c r="W44" s="5"/>
      <c r="X44" s="5"/>
      <c r="Y44" s="5"/>
      <c r="Z44" s="5"/>
      <c r="AA44" s="5"/>
      <c r="AB44" s="5"/>
      <c r="AC44" s="5"/>
    </row>
    <row r="45" spans="1:30" x14ac:dyDescent="0.25">
      <c r="A45" s="64" t="s">
        <v>58</v>
      </c>
      <c r="B45" s="62"/>
      <c r="C45" s="62"/>
      <c r="D45" s="62"/>
      <c r="E45" s="65"/>
      <c r="F45" s="62"/>
      <c r="G45" s="62"/>
      <c r="H45" s="62"/>
      <c r="I45" s="62"/>
      <c r="J45" s="62"/>
      <c r="L45" s="4"/>
      <c r="M45" s="5"/>
      <c r="N45" s="5"/>
      <c r="O45" s="5"/>
      <c r="P45" s="5"/>
      <c r="Q45" s="5"/>
      <c r="R45" s="5"/>
      <c r="S45" s="5"/>
      <c r="T45" s="5"/>
      <c r="V45" s="4"/>
      <c r="W45" s="5"/>
      <c r="X45" s="5"/>
      <c r="Y45" s="5"/>
      <c r="Z45" s="5"/>
      <c r="AA45" s="5"/>
      <c r="AB45" s="5"/>
      <c r="AC45" s="5"/>
    </row>
    <row r="46" spans="1:30" x14ac:dyDescent="0.25">
      <c r="B46" s="22"/>
      <c r="C46" s="22"/>
      <c r="D46" s="22"/>
      <c r="E46" s="4"/>
      <c r="F46" s="22"/>
      <c r="G46" s="22"/>
      <c r="H46" s="22"/>
      <c r="I46" s="22"/>
      <c r="J46" s="22"/>
      <c r="O46" s="4"/>
      <c r="Y46" s="4"/>
    </row>
    <row r="47" spans="1:30" x14ac:dyDescent="0.25">
      <c r="B47" s="22" t="s">
        <v>59</v>
      </c>
      <c r="C47" s="23">
        <f>C24</f>
        <v>12673.5</v>
      </c>
      <c r="D47" s="23">
        <f t="shared" ref="D47:H47" si="87">D24</f>
        <v>16439.8</v>
      </c>
      <c r="E47" s="23">
        <f t="shared" si="87"/>
        <v>22663.5</v>
      </c>
      <c r="F47" s="23">
        <f t="shared" si="87"/>
        <v>13863.5</v>
      </c>
      <c r="G47" s="23">
        <f t="shared" si="87"/>
        <v>34508.76</v>
      </c>
      <c r="H47" s="23">
        <f t="shared" si="87"/>
        <v>29529.800000000003</v>
      </c>
      <c r="I47" s="23">
        <f t="shared" ref="I47:J47" si="88">I24</f>
        <v>16439.8</v>
      </c>
      <c r="J47" s="23">
        <f t="shared" si="88"/>
        <v>12078.5</v>
      </c>
      <c r="L47" t="s">
        <v>36</v>
      </c>
      <c r="M47" s="5">
        <f>M24</f>
        <v>12673.5</v>
      </c>
      <c r="N47" s="5">
        <f t="shared" ref="N47:S47" si="89">N24</f>
        <v>15719.9</v>
      </c>
      <c r="O47" s="5">
        <f t="shared" si="89"/>
        <v>18831.75</v>
      </c>
      <c r="P47" s="5">
        <f t="shared" si="89"/>
        <v>13863.5</v>
      </c>
      <c r="Q47" s="5">
        <f t="shared" si="89"/>
        <v>34508.76</v>
      </c>
      <c r="R47" s="5">
        <f t="shared" si="89"/>
        <v>29529.800000000003</v>
      </c>
      <c r="S47" s="5">
        <f t="shared" si="89"/>
        <v>15719.9</v>
      </c>
      <c r="T47" s="5">
        <f t="shared" ref="T47" si="90">T24</f>
        <v>12078.5</v>
      </c>
      <c r="V47" t="s">
        <v>36</v>
      </c>
      <c r="W47" s="5">
        <f>W24</f>
        <v>12673.5</v>
      </c>
      <c r="X47" s="5">
        <f t="shared" ref="X47:AC47" si="91">X24</f>
        <v>15719.9</v>
      </c>
      <c r="Y47" s="5">
        <f t="shared" si="91"/>
        <v>18831.75</v>
      </c>
      <c r="Z47" s="5">
        <f t="shared" si="91"/>
        <v>13863.5</v>
      </c>
      <c r="AA47" s="5">
        <f t="shared" si="91"/>
        <v>34508.76</v>
      </c>
      <c r="AB47" s="5">
        <f t="shared" si="91"/>
        <v>29529.800000000003</v>
      </c>
      <c r="AC47" s="5">
        <f t="shared" si="91"/>
        <v>15719.9</v>
      </c>
      <c r="AD47" s="5">
        <f t="shared" ref="AD47" si="92">AD24</f>
        <v>12078.5</v>
      </c>
    </row>
    <row r="48" spans="1:30" x14ac:dyDescent="0.25">
      <c r="B48" s="22" t="s">
        <v>39</v>
      </c>
      <c r="C48" s="22">
        <f>C33</f>
        <v>750</v>
      </c>
      <c r="D48" s="22">
        <f t="shared" ref="D48:H48" si="93">D33</f>
        <v>550</v>
      </c>
      <c r="E48" s="22">
        <f t="shared" si="93"/>
        <v>850</v>
      </c>
      <c r="F48" s="22">
        <f t="shared" si="93"/>
        <v>750</v>
      </c>
      <c r="G48" s="22">
        <f t="shared" si="93"/>
        <v>550</v>
      </c>
      <c r="H48" s="22">
        <f t="shared" si="93"/>
        <v>550</v>
      </c>
      <c r="I48" s="22">
        <f t="shared" ref="I48:J48" si="94">I33</f>
        <v>550</v>
      </c>
      <c r="J48" s="22">
        <f t="shared" si="94"/>
        <v>0</v>
      </c>
      <c r="L48" t="s">
        <v>39</v>
      </c>
      <c r="M48" s="5">
        <f>M33</f>
        <v>932.23027349188294</v>
      </c>
      <c r="N48" s="5">
        <f t="shared" ref="N48:S48" si="95">N33</f>
        <v>683.63553389404751</v>
      </c>
      <c r="O48" s="5">
        <f t="shared" si="95"/>
        <v>1056.5276432908006</v>
      </c>
      <c r="P48" s="5">
        <f t="shared" si="95"/>
        <v>932.23027349188294</v>
      </c>
      <c r="Q48" s="5">
        <f t="shared" si="95"/>
        <v>683.63553389404751</v>
      </c>
      <c r="R48" s="5">
        <f t="shared" si="95"/>
        <v>683.63553389404751</v>
      </c>
      <c r="S48" s="5">
        <f t="shared" si="95"/>
        <v>683.63553389404751</v>
      </c>
      <c r="T48" s="5">
        <f t="shared" ref="T48" si="96">T33</f>
        <v>0</v>
      </c>
      <c r="V48" t="s">
        <v>39</v>
      </c>
      <c r="W48" s="5">
        <f>W33</f>
        <v>1196.6711786375329</v>
      </c>
      <c r="X48" s="5">
        <f t="shared" ref="X48:AC48" si="97">X33</f>
        <v>877.55886433419084</v>
      </c>
      <c r="Y48" s="5">
        <f t="shared" si="97"/>
        <v>1356.2273357892041</v>
      </c>
      <c r="Z48" s="5">
        <f t="shared" si="97"/>
        <v>1196.6711786375329</v>
      </c>
      <c r="AA48" s="5">
        <f t="shared" si="97"/>
        <v>877.55886433419084</v>
      </c>
      <c r="AB48" s="5">
        <f t="shared" si="97"/>
        <v>877.55886433419084</v>
      </c>
      <c r="AC48" s="5">
        <f t="shared" si="97"/>
        <v>877.55886433419084</v>
      </c>
      <c r="AD48" s="5">
        <f t="shared" ref="AD48" si="98">AD33</f>
        <v>0</v>
      </c>
    </row>
    <row r="49" spans="2:30" x14ac:dyDescent="0.25">
      <c r="B49" s="22" t="s">
        <v>60</v>
      </c>
      <c r="C49" s="23">
        <f>C42</f>
        <v>2520</v>
      </c>
      <c r="D49" s="23">
        <f t="shared" ref="D49:F49" si="99">D42</f>
        <v>2333.333333333333</v>
      </c>
      <c r="E49" s="23">
        <f t="shared" si="99"/>
        <v>1668.3333333333335</v>
      </c>
      <c r="F49" s="23">
        <f t="shared" si="99"/>
        <v>2626.6666666666665</v>
      </c>
      <c r="G49" s="23">
        <f ca="1">G42</f>
        <v>1580.0045631971975</v>
      </c>
      <c r="H49" s="23">
        <f ca="1">H42</f>
        <v>1690.2374396993275</v>
      </c>
      <c r="I49" s="23">
        <f ca="1">I42</f>
        <v>2018.8947196408633</v>
      </c>
      <c r="J49" s="23">
        <f t="shared" ref="J49" si="100">J42</f>
        <v>6626.666666666667</v>
      </c>
      <c r="L49" t="s">
        <v>40</v>
      </c>
      <c r="M49" s="5">
        <f>M42</f>
        <v>3132.2937189327267</v>
      </c>
      <c r="N49" s="5">
        <f t="shared" ref="N49:P49" si="101">N42</f>
        <v>2900.2719619747463</v>
      </c>
      <c r="O49" s="5">
        <f t="shared" si="101"/>
        <v>2073.6944528119443</v>
      </c>
      <c r="P49" s="5">
        <f t="shared" si="101"/>
        <v>3122.3330105645882</v>
      </c>
      <c r="Q49" s="5">
        <f ca="1">Q42</f>
        <v>1929.2879547424161</v>
      </c>
      <c r="R49" s="5">
        <f ca="1">R42</f>
        <v>2063.8894399570036</v>
      </c>
      <c r="S49" s="5">
        <f ca="1">S42</f>
        <v>2465.2012755041983</v>
      </c>
      <c r="T49" s="5">
        <f t="shared" ref="T49" si="102">T42</f>
        <v>7987.3193754060594</v>
      </c>
      <c r="V49" t="s">
        <v>40</v>
      </c>
      <c r="W49" s="5">
        <f>W42</f>
        <v>4020.815160222111</v>
      </c>
      <c r="X49" s="5">
        <f t="shared" ref="X49:Z49" si="103">X42</f>
        <v>3722.9770002056575</v>
      </c>
      <c r="Y49" s="5">
        <f t="shared" si="103"/>
        <v>2661.9285551470457</v>
      </c>
      <c r="Z49" s="5">
        <f t="shared" si="103"/>
        <v>3841.6122725607561</v>
      </c>
      <c r="AA49" s="5">
        <f ca="1">AA42</f>
        <v>2436.1456488163612</v>
      </c>
      <c r="AB49" s="5">
        <f ca="1">AB42</f>
        <v>2606.1092987337815</v>
      </c>
      <c r="AC49" s="5">
        <f ca="1">AC42</f>
        <v>3112.8527734875724</v>
      </c>
      <c r="AD49" s="5">
        <f t="shared" ref="AD49" si="104">AD42</f>
        <v>9961.8114671602452</v>
      </c>
    </row>
    <row r="50" spans="2:30" x14ac:dyDescent="0.25">
      <c r="B50" s="22"/>
      <c r="C50" s="22"/>
      <c r="D50" s="22"/>
      <c r="E50" s="22"/>
      <c r="F50" s="22"/>
      <c r="G50" s="22"/>
      <c r="H50" s="22"/>
      <c r="I50" s="22"/>
      <c r="J50" s="22"/>
    </row>
    <row r="51" spans="2:30" x14ac:dyDescent="0.25">
      <c r="B51" s="30" t="s">
        <v>211</v>
      </c>
      <c r="C51" s="22"/>
      <c r="D51" s="22"/>
      <c r="E51" s="22"/>
      <c r="F51" s="22"/>
      <c r="G51" s="22"/>
      <c r="H51" s="22"/>
      <c r="I51" s="22"/>
      <c r="J51" s="22"/>
      <c r="L51" s="1" t="s">
        <v>212</v>
      </c>
      <c r="V51" s="1" t="s">
        <v>216</v>
      </c>
    </row>
    <row r="52" spans="2:30" x14ac:dyDescent="0.25">
      <c r="B52" s="22" t="s">
        <v>36</v>
      </c>
      <c r="C52" s="23">
        <f>C47</f>
        <v>12673.5</v>
      </c>
      <c r="D52" s="23">
        <f t="shared" ref="D52:H52" si="105">D47</f>
        <v>16439.8</v>
      </c>
      <c r="E52" s="23">
        <f t="shared" si="105"/>
        <v>22663.5</v>
      </c>
      <c r="F52" s="23">
        <f t="shared" si="105"/>
        <v>13863.5</v>
      </c>
      <c r="G52" s="23">
        <f t="shared" si="105"/>
        <v>34508.76</v>
      </c>
      <c r="H52" s="23">
        <f t="shared" si="105"/>
        <v>29529.800000000003</v>
      </c>
      <c r="I52" s="23">
        <f t="shared" ref="I52:J52" si="106">I47</f>
        <v>16439.8</v>
      </c>
      <c r="J52" s="23">
        <f t="shared" si="106"/>
        <v>12078.5</v>
      </c>
      <c r="L52" t="s">
        <v>36</v>
      </c>
      <c r="M52" s="5">
        <f>M47</f>
        <v>12673.5</v>
      </c>
      <c r="N52" s="5">
        <f t="shared" ref="N52:S52" si="107">N47</f>
        <v>15719.9</v>
      </c>
      <c r="O52" s="5">
        <f t="shared" si="107"/>
        <v>18831.75</v>
      </c>
      <c r="P52" s="5">
        <f t="shared" si="107"/>
        <v>13863.5</v>
      </c>
      <c r="Q52" s="5">
        <f t="shared" si="107"/>
        <v>34508.76</v>
      </c>
      <c r="R52" s="5">
        <f t="shared" si="107"/>
        <v>29529.800000000003</v>
      </c>
      <c r="S52" s="5">
        <f t="shared" si="107"/>
        <v>15719.9</v>
      </c>
      <c r="T52" s="5">
        <f t="shared" ref="T52" si="108">T47</f>
        <v>12078.5</v>
      </c>
      <c r="V52" t="s">
        <v>36</v>
      </c>
      <c r="W52" s="5">
        <f>W47</f>
        <v>12673.5</v>
      </c>
      <c r="X52" s="5">
        <f t="shared" ref="X52:AC52" si="109">X47</f>
        <v>15719.9</v>
      </c>
      <c r="Y52" s="5">
        <f t="shared" si="109"/>
        <v>18831.75</v>
      </c>
      <c r="Z52" s="5">
        <f t="shared" si="109"/>
        <v>13863.5</v>
      </c>
      <c r="AA52" s="5">
        <f t="shared" si="109"/>
        <v>34508.76</v>
      </c>
      <c r="AB52" s="5">
        <f t="shared" si="109"/>
        <v>29529.800000000003</v>
      </c>
      <c r="AC52" s="5">
        <f t="shared" si="109"/>
        <v>15719.9</v>
      </c>
      <c r="AD52" s="5">
        <f t="shared" ref="AD52" si="110">AD47</f>
        <v>12078.5</v>
      </c>
    </row>
    <row r="53" spans="2:30" x14ac:dyDescent="0.25">
      <c r="B53" s="22" t="s">
        <v>210</v>
      </c>
      <c r="C53" s="23">
        <f>C48*Eingaben!$C$5</f>
        <v>15000</v>
      </c>
      <c r="D53" s="23">
        <f>D48*Eingaben!$C$5</f>
        <v>11000</v>
      </c>
      <c r="E53" s="23">
        <f>E48*Eingaben!$C$5</f>
        <v>17000</v>
      </c>
      <c r="F53" s="23">
        <f>F48*Eingaben!$C$5</f>
        <v>15000</v>
      </c>
      <c r="G53" s="23">
        <f>G48*Eingaben!$C$5</f>
        <v>11000</v>
      </c>
      <c r="H53" s="23">
        <f>H48*Eingaben!$C$5</f>
        <v>11000</v>
      </c>
      <c r="I53" s="23">
        <f>I48*Eingaben!$C$5</f>
        <v>11000</v>
      </c>
      <c r="J53" s="23">
        <f>J48*Eingaben!$C$5</f>
        <v>0</v>
      </c>
      <c r="L53" t="s">
        <v>213</v>
      </c>
      <c r="M53" s="23">
        <f>M48*Eingaben!$C$5</f>
        <v>18644.605469837657</v>
      </c>
      <c r="N53" s="23">
        <f>N48*Eingaben!$C$5</f>
        <v>13672.71067788095</v>
      </c>
      <c r="O53" s="23">
        <f>O48*Eingaben!$C$5</f>
        <v>21130.552865816011</v>
      </c>
      <c r="P53" s="23">
        <f>P48*Eingaben!$C$5</f>
        <v>18644.605469837657</v>
      </c>
      <c r="Q53" s="23">
        <f>Q48*Eingaben!$C$5</f>
        <v>13672.71067788095</v>
      </c>
      <c r="R53" s="23">
        <f>R48*Eingaben!$C$5</f>
        <v>13672.71067788095</v>
      </c>
      <c r="S53" s="23">
        <f>S48*Eingaben!$C$5</f>
        <v>13672.71067788095</v>
      </c>
      <c r="T53" s="23">
        <f>T48*Eingaben!$C$5</f>
        <v>0</v>
      </c>
      <c r="V53" t="s">
        <v>213</v>
      </c>
      <c r="W53" s="23">
        <f>W48*Eingaben!$C$5</f>
        <v>23933.423572750657</v>
      </c>
      <c r="X53" s="23">
        <f>X48*Eingaben!$C$5</f>
        <v>17551.177286683818</v>
      </c>
      <c r="Y53" s="23">
        <f>Y48*Eingaben!$C$5</f>
        <v>27124.546715784083</v>
      </c>
      <c r="Z53" s="23">
        <f>Z48*Eingaben!$C$5</f>
        <v>23933.423572750657</v>
      </c>
      <c r="AA53" s="23">
        <f>AA48*Eingaben!$C$5</f>
        <v>17551.177286683818</v>
      </c>
      <c r="AB53" s="23">
        <f>AB48*Eingaben!$C$5</f>
        <v>17551.177286683818</v>
      </c>
      <c r="AC53" s="23">
        <f>AC48*Eingaben!$C$5</f>
        <v>17551.177286683818</v>
      </c>
      <c r="AD53" s="23">
        <f>AD48*Eingaben!$C$5</f>
        <v>0</v>
      </c>
    </row>
    <row r="54" spans="2:30" x14ac:dyDescent="0.25">
      <c r="B54" s="22" t="s">
        <v>209</v>
      </c>
      <c r="C54" s="23">
        <f>C49*Eingaben!$C$5</f>
        <v>50400</v>
      </c>
      <c r="D54" s="23">
        <f>D49*Eingaben!$C$5</f>
        <v>46666.666666666657</v>
      </c>
      <c r="E54" s="23">
        <f>E49*Eingaben!$C$5</f>
        <v>33366.666666666672</v>
      </c>
      <c r="F54" s="23">
        <f>F49*Eingaben!$C$5</f>
        <v>52533.333333333328</v>
      </c>
      <c r="G54" s="23">
        <f ca="1">G49*Eingaben!$C$5</f>
        <v>31600.091263943948</v>
      </c>
      <c r="H54" s="23">
        <f ca="1">H49*Eingaben!$C$5</f>
        <v>33804.748793986553</v>
      </c>
      <c r="I54" s="23">
        <f ca="1">I49*Eingaben!$C$5</f>
        <v>40377.894392817267</v>
      </c>
      <c r="J54" s="23">
        <f>J49*Eingaben!$C$5</f>
        <v>132533.33333333334</v>
      </c>
      <c r="L54" t="s">
        <v>214</v>
      </c>
      <c r="M54" s="23">
        <f>M49*Eingaben!$C$5</f>
        <v>62645.874378654538</v>
      </c>
      <c r="N54" s="23">
        <f>N49*Eingaben!$C$5</f>
        <v>58005.439239494925</v>
      </c>
      <c r="O54" s="23">
        <f>O49*Eingaben!$C$5</f>
        <v>41473.889056238884</v>
      </c>
      <c r="P54" s="23">
        <f>P49*Eingaben!$C$5</f>
        <v>62446.660211291761</v>
      </c>
      <c r="Q54" s="23">
        <f ca="1">Q49*Eingaben!$C$5</f>
        <v>38585.759094848319</v>
      </c>
      <c r="R54" s="23">
        <f ca="1">R49*Eingaben!$C$5</f>
        <v>41277.788799140071</v>
      </c>
      <c r="S54" s="23">
        <f ca="1">S49*Eingaben!$C$5</f>
        <v>49304.025510083964</v>
      </c>
      <c r="T54" s="23">
        <f>T49*Eingaben!$C$5</f>
        <v>159746.3875081212</v>
      </c>
      <c r="V54" t="s">
        <v>215</v>
      </c>
      <c r="W54" s="23">
        <f>W49*Eingaben!$C$5</f>
        <v>80416.303204442214</v>
      </c>
      <c r="X54" s="23">
        <f>X49*Eingaben!$C$5</f>
        <v>74459.540004113151</v>
      </c>
      <c r="Y54" s="23">
        <f>Y49*Eingaben!$C$5</f>
        <v>53238.571102940914</v>
      </c>
      <c r="Z54" s="23">
        <f>Z49*Eingaben!$C$5</f>
        <v>76832.245451215116</v>
      </c>
      <c r="AA54" s="23">
        <f ca="1">AA49*Eingaben!$C$5</f>
        <v>48722.912976327221</v>
      </c>
      <c r="AB54" s="23">
        <f ca="1">AB49*Eingaben!$C$5</f>
        <v>52122.185974675631</v>
      </c>
      <c r="AC54" s="23">
        <f ca="1">AC49*Eingaben!$C$5</f>
        <v>62257.055469751445</v>
      </c>
      <c r="AD54" s="23">
        <f>AD49*Eingaben!$C$5</f>
        <v>199236.2293432049</v>
      </c>
    </row>
    <row r="55" spans="2:30" x14ac:dyDescent="0.25">
      <c r="B55" s="22"/>
      <c r="C55" s="22"/>
      <c r="D55" s="22"/>
      <c r="E55" s="22"/>
      <c r="F55" s="22"/>
      <c r="G55" s="22"/>
      <c r="H55" s="22"/>
      <c r="I55" s="22"/>
      <c r="J55" s="22"/>
    </row>
    <row r="56" spans="2:30" x14ac:dyDescent="0.25">
      <c r="B56" s="31" t="s">
        <v>208</v>
      </c>
      <c r="C56" s="25">
        <f>SUM(C52:C55)</f>
        <v>78073.5</v>
      </c>
      <c r="D56" s="25">
        <f t="shared" ref="D56:F56" si="111">SUM(D52:D55)</f>
        <v>74106.46666666666</v>
      </c>
      <c r="E56" s="25">
        <f>SUM(E52:E55)</f>
        <v>73030.166666666672</v>
      </c>
      <c r="F56" s="25">
        <f t="shared" si="111"/>
        <v>81396.833333333328</v>
      </c>
      <c r="G56" s="25">
        <f ca="1">SUM(G52:G55)</f>
        <v>77108.851263943943</v>
      </c>
      <c r="H56" s="25">
        <f ca="1">SUM(H52:H55)</f>
        <v>74334.548793986556</v>
      </c>
      <c r="I56" s="25">
        <f ca="1">SUM(I52:I55)</f>
        <v>67817.69439281727</v>
      </c>
      <c r="J56" s="25">
        <f t="shared" ref="J56" si="112">SUM(J52:J55)</f>
        <v>144611.83333333334</v>
      </c>
      <c r="L56" s="31" t="s">
        <v>208</v>
      </c>
      <c r="M56" s="8">
        <f>SUM(M52:M55)</f>
        <v>93963.979848492192</v>
      </c>
      <c r="N56" s="8">
        <f t="shared" ref="N56" si="113">SUM(N52:N55)</f>
        <v>87398.049917375873</v>
      </c>
      <c r="O56" s="8">
        <f t="shared" ref="O56" si="114">SUM(O52:O55)</f>
        <v>81436.191922054888</v>
      </c>
      <c r="P56" s="8">
        <f t="shared" ref="P56" si="115">SUM(P52:P55)</f>
        <v>94954.765681129415</v>
      </c>
      <c r="Q56" s="8">
        <f ca="1">SUM(Q52:Q55)</f>
        <v>86767.229772729275</v>
      </c>
      <c r="R56" s="8">
        <f ca="1">SUM(R52:R55)</f>
        <v>84480.299477021035</v>
      </c>
      <c r="S56" s="8">
        <f ca="1">SUM(S52:S55)</f>
        <v>78696.636187964905</v>
      </c>
      <c r="T56" s="8">
        <f t="shared" ref="T56" si="116">SUM(T52:T55)</f>
        <v>171824.8875081212</v>
      </c>
      <c r="V56" s="31" t="s">
        <v>208</v>
      </c>
      <c r="W56" s="8">
        <f>SUM(W52:W55)</f>
        <v>117023.22677719287</v>
      </c>
      <c r="X56" s="8">
        <f t="shared" ref="X56" si="117">SUM(X52:X55)</f>
        <v>107730.61729079697</v>
      </c>
      <c r="Y56" s="8">
        <f t="shared" ref="Y56" si="118">SUM(Y52:Y55)</f>
        <v>99194.867818725004</v>
      </c>
      <c r="Z56" s="8">
        <f t="shared" ref="Z56" si="119">SUM(Z52:Z55)</f>
        <v>114629.16902396578</v>
      </c>
      <c r="AA56" s="8">
        <f ca="1">SUM(AA52:AA55)</f>
        <v>100782.85026301105</v>
      </c>
      <c r="AB56" s="8">
        <f ca="1">SUM(AB52:AB55)</f>
        <v>99203.163261359441</v>
      </c>
      <c r="AC56" s="8">
        <f ca="1">SUM(AC52:AC55)</f>
        <v>95528.132756435254</v>
      </c>
      <c r="AD56" s="8">
        <f t="shared" ref="AD56" si="120">SUM(AD52:AD55)</f>
        <v>211314.7293432049</v>
      </c>
    </row>
    <row r="57" spans="2:30" x14ac:dyDescent="0.25">
      <c r="B57" s="30"/>
      <c r="C57" s="32"/>
      <c r="D57" s="32"/>
      <c r="E57" s="32"/>
      <c r="F57" s="32"/>
      <c r="G57" s="32"/>
      <c r="H57" s="32"/>
      <c r="I57" s="32"/>
      <c r="J57" s="32"/>
      <c r="L57" s="1"/>
      <c r="M57" s="16"/>
      <c r="N57" s="16"/>
      <c r="O57" s="16"/>
      <c r="P57" s="16"/>
      <c r="Q57" s="16"/>
      <c r="R57" s="16"/>
      <c r="S57" s="16"/>
      <c r="T57" s="16"/>
      <c r="V57" s="1"/>
      <c r="W57" s="16"/>
      <c r="X57" s="16"/>
      <c r="Y57" s="16"/>
      <c r="Z57" s="16"/>
      <c r="AA57" s="16"/>
      <c r="AB57" s="16"/>
      <c r="AC57" s="16"/>
    </row>
    <row r="58" spans="2:30" x14ac:dyDescent="0.25">
      <c r="I58" s="22"/>
      <c r="J58" s="22"/>
      <c r="L58" s="4"/>
    </row>
    <row r="59" spans="2:30" x14ac:dyDescent="0.25">
      <c r="I59" s="22"/>
      <c r="J59" s="22"/>
    </row>
    <row r="60" spans="2:30" x14ac:dyDescent="0.25">
      <c r="I60" s="22"/>
      <c r="J60" s="22"/>
    </row>
    <row r="61" spans="2:30" x14ac:dyDescent="0.25">
      <c r="I61" s="22"/>
      <c r="J61" s="22"/>
    </row>
    <row r="62" spans="2:30" x14ac:dyDescent="0.25">
      <c r="I62" s="22"/>
      <c r="J62" s="22"/>
    </row>
  </sheetData>
  <mergeCells count="2">
    <mergeCell ref="K4:L4"/>
    <mergeCell ref="U4:V4"/>
  </mergeCells>
  <pageMargins left="0.23622047244094491" right="0.23622047244094491" top="0.74803149606299213" bottom="0.74803149606299213" header="0.31496062992125984" footer="0.31496062992125984"/>
  <pageSetup paperSize="9" scale="90" orientation="landscape" horizontalDpi="0" verticalDpi="0" r:id="rId1"/>
  <headerFooter>
    <oddFooter>&amp;Laufgestellt: Horst Winter&amp;C&amp;D&amp;RSeite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58AAB-344D-4BCE-B782-374B0066F3F8}">
  <dimension ref="A3:H12"/>
  <sheetViews>
    <sheetView workbookViewId="0">
      <selection activeCell="B5" sqref="B5:H12"/>
    </sheetView>
  </sheetViews>
  <sheetFormatPr baseColWidth="10" defaultRowHeight="15" x14ac:dyDescent="0.25"/>
  <cols>
    <col min="1" max="1" width="2.42578125" customWidth="1"/>
    <col min="2" max="2" width="57" customWidth="1"/>
    <col min="4" max="4" width="6.85546875" bestFit="1" customWidth="1"/>
    <col min="6" max="6" width="7.42578125" customWidth="1"/>
    <col min="8" max="8" width="7" customWidth="1"/>
  </cols>
  <sheetData>
    <row r="3" spans="1:8" ht="15.75" x14ac:dyDescent="0.25">
      <c r="A3" s="1" t="s">
        <v>82</v>
      </c>
      <c r="B3" s="69"/>
      <c r="C3" s="70"/>
      <c r="D3" s="70"/>
      <c r="E3" s="70"/>
      <c r="F3" s="70"/>
      <c r="G3" s="70"/>
      <c r="H3" s="70"/>
    </row>
    <row r="4" spans="1:8" ht="15.75" x14ac:dyDescent="0.25">
      <c r="B4" s="70"/>
      <c r="C4" s="71" t="s">
        <v>42</v>
      </c>
      <c r="D4" s="70"/>
      <c r="E4" s="72" t="s">
        <v>43</v>
      </c>
      <c r="F4" s="70"/>
      <c r="G4" s="72" t="s">
        <v>44</v>
      </c>
      <c r="H4" s="70"/>
    </row>
    <row r="5" spans="1:8" ht="15.75" x14ac:dyDescent="0.25">
      <c r="B5" s="73" t="s">
        <v>19</v>
      </c>
      <c r="C5" s="74">
        <f>'Invest und Kosten'!C56</f>
        <v>78073.5</v>
      </c>
      <c r="D5" s="75">
        <f t="shared" ref="D5:D12" ca="1" si="0">RANK(C5,$C$5:$C$12,1)</f>
        <v>6</v>
      </c>
      <c r="E5" s="74">
        <f>'Invest und Kosten'!M56</f>
        <v>93963.979848492192</v>
      </c>
      <c r="F5" s="75">
        <f t="shared" ref="F5:F12" ca="1" si="1">RANK(E5,$E$5:$E$12,1)</f>
        <v>6</v>
      </c>
      <c r="G5" s="74">
        <f>'Invest und Kosten'!W56</f>
        <v>117023.22677719287</v>
      </c>
      <c r="H5" s="75">
        <f t="shared" ref="H5:H12" ca="1" si="2">RANK(G5,$G$5:$G$12,1)</f>
        <v>7</v>
      </c>
    </row>
    <row r="6" spans="1:8" ht="15.75" x14ac:dyDescent="0.25">
      <c r="B6" s="73" t="s">
        <v>217</v>
      </c>
      <c r="C6" s="76">
        <f>'Invest und Kosten'!D56</f>
        <v>74106.46666666666</v>
      </c>
      <c r="D6" s="75">
        <f t="shared" ca="1" si="0"/>
        <v>3</v>
      </c>
      <c r="E6" s="76">
        <f>'Invest und Kosten'!N56</f>
        <v>87398.049917375873</v>
      </c>
      <c r="F6" s="75">
        <f t="shared" ca="1" si="1"/>
        <v>5</v>
      </c>
      <c r="G6" s="76">
        <f>'Invest und Kosten'!X56</f>
        <v>107730.61729079697</v>
      </c>
      <c r="H6" s="75">
        <f t="shared" ca="1" si="2"/>
        <v>5</v>
      </c>
    </row>
    <row r="7" spans="1:8" ht="15.75" x14ac:dyDescent="0.25">
      <c r="B7" s="73" t="s">
        <v>1</v>
      </c>
      <c r="C7" s="77">
        <f>'Invest und Kosten'!E56</f>
        <v>73030.166666666672</v>
      </c>
      <c r="D7" s="75">
        <f t="shared" ca="1" si="0"/>
        <v>2</v>
      </c>
      <c r="E7" s="77">
        <f>'Invest und Kosten'!O56</f>
        <v>81436.191922054888</v>
      </c>
      <c r="F7" s="75">
        <f t="shared" ca="1" si="1"/>
        <v>2</v>
      </c>
      <c r="G7" s="77">
        <f>'Invest und Kosten'!Y56</f>
        <v>99194.867818725004</v>
      </c>
      <c r="H7" s="75">
        <f t="shared" ca="1" si="2"/>
        <v>2</v>
      </c>
    </row>
    <row r="8" spans="1:8" ht="15.75" x14ac:dyDescent="0.25">
      <c r="B8" s="73" t="s">
        <v>28</v>
      </c>
      <c r="C8" s="76">
        <f>'Invest und Kosten'!F56</f>
        <v>81396.833333333328</v>
      </c>
      <c r="D8" s="75">
        <f t="shared" ca="1" si="0"/>
        <v>7</v>
      </c>
      <c r="E8" s="76">
        <f>'Invest und Kosten'!P56</f>
        <v>94954.765681129415</v>
      </c>
      <c r="F8" s="75">
        <f t="shared" ca="1" si="1"/>
        <v>7</v>
      </c>
      <c r="G8" s="76">
        <f>'Invest und Kosten'!Z56</f>
        <v>114629.16902396578</v>
      </c>
      <c r="H8" s="75">
        <f t="shared" ca="1" si="2"/>
        <v>6</v>
      </c>
    </row>
    <row r="9" spans="1:8" ht="15.75" x14ac:dyDescent="0.25">
      <c r="B9" s="73" t="str">
        <f>'Invest und Kosten'!G4</f>
        <v>Sole-Wärmepumpe mit Eisspeicher und Twin-PV-Anlage</v>
      </c>
      <c r="C9" s="76">
        <f ca="1">'Invest und Kosten'!G56</f>
        <v>77108.851263943943</v>
      </c>
      <c r="D9" s="75">
        <f t="shared" ca="1" si="0"/>
        <v>5</v>
      </c>
      <c r="E9" s="76">
        <f ca="1">'Invest und Kosten'!Q56</f>
        <v>86767.229772729275</v>
      </c>
      <c r="F9" s="75">
        <f t="shared" ca="1" si="1"/>
        <v>4</v>
      </c>
      <c r="G9" s="76">
        <f ca="1">'Invest und Kosten'!AA56</f>
        <v>100782.85026301105</v>
      </c>
      <c r="H9" s="75">
        <f t="shared" ca="1" si="2"/>
        <v>4</v>
      </c>
    </row>
    <row r="10" spans="1:8" ht="15.75" x14ac:dyDescent="0.25">
      <c r="B10" s="73" t="str">
        <f>'Invest und Kosten'!H4</f>
        <v>Sole-Wärmepumpe mit Tiefenbohrung und PV-Anlage</v>
      </c>
      <c r="C10" s="78">
        <f ca="1">'Invest und Kosten'!H56</f>
        <v>74334.548793986556</v>
      </c>
      <c r="D10" s="75">
        <f t="shared" ca="1" si="0"/>
        <v>4</v>
      </c>
      <c r="E10" s="78">
        <f ca="1">'Invest und Kosten'!R56</f>
        <v>84480.299477021035</v>
      </c>
      <c r="F10" s="75">
        <f t="shared" ca="1" si="1"/>
        <v>3</v>
      </c>
      <c r="G10" s="78">
        <f ca="1">'Invest und Kosten'!AB56</f>
        <v>99203.163261359441</v>
      </c>
      <c r="H10" s="75">
        <f t="shared" ca="1" si="2"/>
        <v>3</v>
      </c>
    </row>
    <row r="11" spans="1:8" ht="15.75" x14ac:dyDescent="0.25">
      <c r="B11" s="73" t="s">
        <v>41</v>
      </c>
      <c r="C11" s="76">
        <f ca="1">'Invest und Kosten'!I56</f>
        <v>67817.69439281727</v>
      </c>
      <c r="D11" s="75">
        <f t="shared" ca="1" si="0"/>
        <v>1</v>
      </c>
      <c r="E11" s="76">
        <f ca="1">'Invest und Kosten'!S56</f>
        <v>78696.636187964905</v>
      </c>
      <c r="F11" s="75">
        <f t="shared" ca="1" si="1"/>
        <v>1</v>
      </c>
      <c r="G11" s="76">
        <f ca="1">'Invest und Kosten'!AC56</f>
        <v>95528.132756435254</v>
      </c>
      <c r="H11" s="75">
        <f t="shared" ca="1" si="2"/>
        <v>1</v>
      </c>
    </row>
    <row r="12" spans="1:8" ht="15.75" x14ac:dyDescent="0.25">
      <c r="B12" s="73" t="s">
        <v>191</v>
      </c>
      <c r="C12" s="76">
        <f>'Invest und Kosten'!J56</f>
        <v>144611.83333333334</v>
      </c>
      <c r="D12" s="75">
        <f t="shared" ca="1" si="0"/>
        <v>8</v>
      </c>
      <c r="E12" s="76">
        <f>'Invest und Kosten'!T56</f>
        <v>171824.8875081212</v>
      </c>
      <c r="F12" s="75">
        <f t="shared" ca="1" si="1"/>
        <v>8</v>
      </c>
      <c r="G12" s="76">
        <f>'Invest und Kosten'!AD56</f>
        <v>211314.7293432049</v>
      </c>
      <c r="H12" s="75">
        <f t="shared" ca="1" si="2"/>
        <v>8</v>
      </c>
    </row>
  </sheetData>
  <conditionalFormatting sqref="C5:C1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:D1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:E1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5:F1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:G1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:H1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5425A-C339-4527-B5D5-37D72DA60E60}">
  <dimension ref="A1:AE57"/>
  <sheetViews>
    <sheetView topLeftCell="A40" workbookViewId="0">
      <selection activeCell="A58" sqref="A58"/>
    </sheetView>
  </sheetViews>
  <sheetFormatPr baseColWidth="10" defaultRowHeight="15" x14ac:dyDescent="0.25"/>
  <cols>
    <col min="1" max="1" width="34.7109375" customWidth="1"/>
    <col min="6" max="6" width="12.5703125" bestFit="1" customWidth="1"/>
  </cols>
  <sheetData>
    <row r="1" spans="1:14" x14ac:dyDescent="0.25">
      <c r="A1" s="1" t="s">
        <v>203</v>
      </c>
    </row>
    <row r="2" spans="1:14" x14ac:dyDescent="0.25">
      <c r="A2" t="s">
        <v>204</v>
      </c>
    </row>
    <row r="3" spans="1:14" x14ac:dyDescent="0.25">
      <c r="A3" s="1"/>
    </row>
    <row r="4" spans="1:14" x14ac:dyDescent="0.25">
      <c r="A4" t="s">
        <v>108</v>
      </c>
    </row>
    <row r="5" spans="1:14" x14ac:dyDescent="0.25">
      <c r="A5" t="s">
        <v>109</v>
      </c>
    </row>
    <row r="6" spans="1:14" x14ac:dyDescent="0.25">
      <c r="A6" t="s">
        <v>110</v>
      </c>
    </row>
    <row r="9" spans="1:14" x14ac:dyDescent="0.25">
      <c r="A9" t="s">
        <v>111</v>
      </c>
      <c r="C9" s="5">
        <f>Eingaben!C15</f>
        <v>8000</v>
      </c>
      <c r="D9" t="s">
        <v>2</v>
      </c>
    </row>
    <row r="10" spans="1:14" x14ac:dyDescent="0.25">
      <c r="A10" t="s">
        <v>112</v>
      </c>
      <c r="C10" s="49">
        <f>Eingaben!C14/Eingaben!C21</f>
        <v>2222.2222222222222</v>
      </c>
      <c r="D10" t="s">
        <v>2</v>
      </c>
    </row>
    <row r="11" spans="1:14" x14ac:dyDescent="0.25">
      <c r="A11" t="s">
        <v>113</v>
      </c>
      <c r="C11" s="5">
        <f>Eingaben!C13/Eingaben!C21</f>
        <v>5555.5555555555557</v>
      </c>
      <c r="D11" t="s">
        <v>2</v>
      </c>
    </row>
    <row r="13" spans="1:14" x14ac:dyDescent="0.25">
      <c r="A13" t="s">
        <v>162</v>
      </c>
      <c r="C13" s="5">
        <f>SUM(C9:C12)</f>
        <v>15777.777777777777</v>
      </c>
    </row>
    <row r="14" spans="1:14" x14ac:dyDescent="0.25">
      <c r="A14" t="s">
        <v>172</v>
      </c>
      <c r="C14" s="5">
        <f ca="1">N21</f>
        <v>19000</v>
      </c>
    </row>
    <row r="16" spans="1:14" x14ac:dyDescent="0.25">
      <c r="A16" t="s">
        <v>114</v>
      </c>
      <c r="B16" s="45" t="s">
        <v>127</v>
      </c>
      <c r="C16" s="45" t="s">
        <v>128</v>
      </c>
      <c r="D16" s="45" t="s">
        <v>116</v>
      </c>
      <c r="E16" s="45" t="s">
        <v>117</v>
      </c>
      <c r="F16" s="45" t="s">
        <v>118</v>
      </c>
      <c r="G16" s="45" t="s">
        <v>119</v>
      </c>
      <c r="H16" s="45" t="s">
        <v>120</v>
      </c>
      <c r="I16" s="45" t="s">
        <v>121</v>
      </c>
      <c r="J16" s="45" t="s">
        <v>122</v>
      </c>
      <c r="K16" s="45" t="s">
        <v>123</v>
      </c>
      <c r="L16" s="45" t="s">
        <v>124</v>
      </c>
      <c r="M16" s="45" t="s">
        <v>125</v>
      </c>
      <c r="N16" s="45" t="s">
        <v>126</v>
      </c>
    </row>
    <row r="17" spans="1:31" x14ac:dyDescent="0.25">
      <c r="A17" s="44" t="s">
        <v>129</v>
      </c>
      <c r="B17" s="49">
        <f>$C$9/12</f>
        <v>666.66666666666663</v>
      </c>
      <c r="C17" s="49">
        <f t="shared" ref="C17:M17" si="0">$C$9/12</f>
        <v>666.66666666666663</v>
      </c>
      <c r="D17" s="49">
        <f t="shared" si="0"/>
        <v>666.66666666666663</v>
      </c>
      <c r="E17" s="49">
        <f t="shared" si="0"/>
        <v>666.66666666666663</v>
      </c>
      <c r="F17" s="49">
        <f t="shared" si="0"/>
        <v>666.66666666666663</v>
      </c>
      <c r="G17" s="49">
        <f t="shared" si="0"/>
        <v>666.66666666666663</v>
      </c>
      <c r="H17" s="49">
        <f t="shared" si="0"/>
        <v>666.66666666666663</v>
      </c>
      <c r="I17" s="49">
        <f t="shared" si="0"/>
        <v>666.66666666666663</v>
      </c>
      <c r="J17" s="49">
        <f t="shared" si="0"/>
        <v>666.66666666666663</v>
      </c>
      <c r="K17" s="49">
        <f t="shared" si="0"/>
        <v>666.66666666666663</v>
      </c>
      <c r="L17" s="49">
        <f t="shared" si="0"/>
        <v>666.66666666666663</v>
      </c>
      <c r="M17" s="49">
        <f t="shared" si="0"/>
        <v>666.66666666666663</v>
      </c>
      <c r="N17" s="49">
        <f>SUM(B17:M17)</f>
        <v>8000.0000000000009</v>
      </c>
    </row>
    <row r="18" spans="1:31" x14ac:dyDescent="0.25">
      <c r="A18" s="44" t="s">
        <v>130</v>
      </c>
      <c r="B18" s="49">
        <f>$C$10/12</f>
        <v>185.18518518518519</v>
      </c>
      <c r="C18" s="49">
        <f t="shared" ref="C18:M18" si="1">$C$10/12</f>
        <v>185.18518518518519</v>
      </c>
      <c r="D18" s="49">
        <f t="shared" si="1"/>
        <v>185.18518518518519</v>
      </c>
      <c r="E18" s="49">
        <f t="shared" si="1"/>
        <v>185.18518518518519</v>
      </c>
      <c r="F18" s="49">
        <f t="shared" si="1"/>
        <v>185.18518518518519</v>
      </c>
      <c r="G18" s="49">
        <f t="shared" si="1"/>
        <v>185.18518518518519</v>
      </c>
      <c r="H18" s="49">
        <f t="shared" si="1"/>
        <v>185.18518518518519</v>
      </c>
      <c r="I18" s="49">
        <f t="shared" si="1"/>
        <v>185.18518518518519</v>
      </c>
      <c r="J18" s="49">
        <f t="shared" si="1"/>
        <v>185.18518518518519</v>
      </c>
      <c r="K18" s="49">
        <f t="shared" si="1"/>
        <v>185.18518518518519</v>
      </c>
      <c r="L18" s="49">
        <f t="shared" si="1"/>
        <v>185.18518518518519</v>
      </c>
      <c r="M18" s="49">
        <f t="shared" si="1"/>
        <v>185.18518518518519</v>
      </c>
      <c r="N18" s="49">
        <f t="shared" ref="N18:N19" si="2">SUM(B18:M18)</f>
        <v>2222.2222222222222</v>
      </c>
    </row>
    <row r="19" spans="1:31" x14ac:dyDescent="0.25">
      <c r="A19" s="44" t="s">
        <v>131</v>
      </c>
      <c r="B19" s="5">
        <f t="shared" ref="B19:M19" si="3">$C$11/$N$37*B37</f>
        <v>949.38196119104464</v>
      </c>
      <c r="C19" s="5">
        <f t="shared" si="3"/>
        <v>829.42994609133473</v>
      </c>
      <c r="D19" s="5">
        <f t="shared" si="3"/>
        <v>735.31876186848694</v>
      </c>
      <c r="E19" s="5">
        <f t="shared" si="3"/>
        <v>459.65158787916681</v>
      </c>
      <c r="F19" s="5">
        <f t="shared" si="3"/>
        <v>237.93323323850879</v>
      </c>
      <c r="G19" s="5">
        <f t="shared" si="3"/>
        <v>50.148117074749614</v>
      </c>
      <c r="H19" s="5">
        <f t="shared" si="3"/>
        <v>12.112299811682419</v>
      </c>
      <c r="I19" s="5">
        <f t="shared" si="3"/>
        <v>21.382204143692572</v>
      </c>
      <c r="J19" s="5">
        <f t="shared" si="3"/>
        <v>181.02911078923077</v>
      </c>
      <c r="K19" s="5">
        <f t="shared" si="3"/>
        <v>479.93847624544048</v>
      </c>
      <c r="L19" s="5">
        <f t="shared" si="3"/>
        <v>703.79005291702936</v>
      </c>
      <c r="M19" s="5">
        <f t="shared" si="3"/>
        <v>895.4398043051898</v>
      </c>
      <c r="N19" s="49">
        <f t="shared" si="2"/>
        <v>5555.5555555555575</v>
      </c>
    </row>
    <row r="21" spans="1:31" x14ac:dyDescent="0.25">
      <c r="A21" s="44" t="s">
        <v>143</v>
      </c>
      <c r="B21" s="49">
        <f ca="1">S23/$AE$23*Eingaben!$C$17*Eingaben!$F$19</f>
        <v>302.07414483799778</v>
      </c>
      <c r="C21" s="49">
        <f ca="1">T23/$AE$23*Eingaben!$C$17*Eingaben!$F$19</f>
        <v>797.58173330032753</v>
      </c>
      <c r="D21" s="49">
        <f ca="1">U23/$AE$23*Eingaben!$C$17*Eingaben!$F$19</f>
        <v>1468.4159818513781</v>
      </c>
      <c r="E21" s="49">
        <f ca="1">V23/$AE$23*Eingaben!$C$17*Eingaben!$F$19</f>
        <v>2089.3461684628178</v>
      </c>
      <c r="F21" s="49">
        <f ca="1">W23/$AE$23*Eingaben!$C$17*Eingaben!$F$19</f>
        <v>2543.7822723199815</v>
      </c>
      <c r="G21" s="49">
        <f ca="1">X23/$AE$23*Eingaben!$C$17*Eingaben!$F$19</f>
        <v>2999.7640772106724</v>
      </c>
      <c r="H21" s="49">
        <f ca="1">Y23/$AE$23*Eingaben!$C$17*Eingaben!$F$19</f>
        <v>2796.5706356317801</v>
      </c>
      <c r="I21" s="49">
        <f ca="1">Z23/$AE$23*Eingaben!$C$17*Eingaben!$F$19</f>
        <v>2379.0237910119231</v>
      </c>
      <c r="J21" s="49">
        <f ca="1">AA23/$AE$23*Eingaben!$C$17*Eingaben!$F$19</f>
        <v>1856.3913575555139</v>
      </c>
      <c r="K21" s="49">
        <f ca="1">AB23/$AE$23*Eingaben!$C$17*Eingaben!$F$19</f>
        <v>970.51476493141479</v>
      </c>
      <c r="L21" s="49">
        <f ca="1">AC23/$AE$23*Eingaben!$C$17*Eingaben!$F$19</f>
        <v>535.5765755400364</v>
      </c>
      <c r="M21" s="49">
        <f ca="1">AD23/$AE$23*Eingaben!$C$17*Eingaben!$F$19</f>
        <v>260.95849734615985</v>
      </c>
      <c r="N21" s="49">
        <f ca="1">AE23/$AE$23*Eingaben!$C$17*Eingaben!$F$19</f>
        <v>19000</v>
      </c>
      <c r="S21" t="s">
        <v>127</v>
      </c>
      <c r="T21" t="s">
        <v>128</v>
      </c>
      <c r="U21" t="s">
        <v>149</v>
      </c>
      <c r="V21" t="s">
        <v>117</v>
      </c>
      <c r="W21" t="s">
        <v>118</v>
      </c>
      <c r="X21" t="s">
        <v>119</v>
      </c>
      <c r="Y21" t="s">
        <v>120</v>
      </c>
      <c r="Z21" t="s">
        <v>121</v>
      </c>
      <c r="AA21" t="s">
        <v>122</v>
      </c>
      <c r="AB21" t="s">
        <v>123</v>
      </c>
      <c r="AC21" t="s">
        <v>124</v>
      </c>
      <c r="AD21" t="s">
        <v>125</v>
      </c>
      <c r="AE21" t="s">
        <v>150</v>
      </c>
    </row>
    <row r="23" spans="1:31" x14ac:dyDescent="0.25">
      <c r="A23" s="50" t="s">
        <v>146</v>
      </c>
      <c r="B23" s="51">
        <f ca="1">IF(B17-B21 &gt; 0, B21/B17, 1)</f>
        <v>0.45311121725699671</v>
      </c>
      <c r="C23" s="51">
        <f t="shared" ref="C23:N23" ca="1" si="4">IF(C17-C21 &gt; 0, C21/C17, 1)</f>
        <v>1</v>
      </c>
      <c r="D23" s="51">
        <f t="shared" ca="1" si="4"/>
        <v>1</v>
      </c>
      <c r="E23" s="51">
        <f t="shared" ca="1" si="4"/>
        <v>1</v>
      </c>
      <c r="F23" s="51">
        <f t="shared" ca="1" si="4"/>
        <v>1</v>
      </c>
      <c r="G23" s="51">
        <f t="shared" ca="1" si="4"/>
        <v>1</v>
      </c>
      <c r="H23" s="51">
        <f t="shared" ca="1" si="4"/>
        <v>1</v>
      </c>
      <c r="I23" s="51">
        <f t="shared" ca="1" si="4"/>
        <v>1</v>
      </c>
      <c r="J23" s="51">
        <f t="shared" ca="1" si="4"/>
        <v>1</v>
      </c>
      <c r="K23" s="51">
        <f t="shared" ca="1" si="4"/>
        <v>1</v>
      </c>
      <c r="L23" s="51">
        <f t="shared" ca="1" si="4"/>
        <v>0.80336486331005463</v>
      </c>
      <c r="M23" s="51">
        <f ca="1">IF(M17-M21 &gt; 0, M21/M17, 1)</f>
        <v>0.39143774601923981</v>
      </c>
      <c r="N23" s="51">
        <f t="shared" ca="1" si="4"/>
        <v>1</v>
      </c>
      <c r="R23" t="s">
        <v>151</v>
      </c>
      <c r="S23">
        <v>1368</v>
      </c>
      <c r="T23">
        <v>3612</v>
      </c>
      <c r="U23">
        <v>6650</v>
      </c>
      <c r="V23">
        <v>9462</v>
      </c>
      <c r="W23">
        <v>11520</v>
      </c>
      <c r="X23">
        <v>13585</v>
      </c>
      <c r="Y23">
        <v>12664.800000000003</v>
      </c>
      <c r="Z23">
        <v>10773.86</v>
      </c>
      <c r="AA23">
        <v>8407.0199999999968</v>
      </c>
      <c r="AB23">
        <v>4395.1600000000035</v>
      </c>
      <c r="AC23">
        <v>2425.4599999999991</v>
      </c>
      <c r="AD23">
        <v>1181.8000000000029</v>
      </c>
      <c r="AE23">
        <v>86045.099999999991</v>
      </c>
    </row>
    <row r="24" spans="1:31" x14ac:dyDescent="0.25">
      <c r="A24" s="50" t="s">
        <v>173</v>
      </c>
      <c r="B24" s="52">
        <f ca="1">IF(B21&lt;B17,B21,B17)</f>
        <v>302.07414483799778</v>
      </c>
      <c r="C24" s="52">
        <f t="shared" ref="C24:M24" ca="1" si="5">IF(C21&lt;C17,C21,C17)</f>
        <v>666.66666666666663</v>
      </c>
      <c r="D24" s="52">
        <f t="shared" ca="1" si="5"/>
        <v>666.66666666666663</v>
      </c>
      <c r="E24" s="52">
        <f t="shared" ca="1" si="5"/>
        <v>666.66666666666663</v>
      </c>
      <c r="F24" s="52">
        <f t="shared" ca="1" si="5"/>
        <v>666.66666666666663</v>
      </c>
      <c r="G24" s="52">
        <f t="shared" ca="1" si="5"/>
        <v>666.66666666666663</v>
      </c>
      <c r="H24" s="52">
        <f t="shared" ca="1" si="5"/>
        <v>666.66666666666663</v>
      </c>
      <c r="I24" s="52">
        <f t="shared" ca="1" si="5"/>
        <v>666.66666666666663</v>
      </c>
      <c r="J24" s="52">
        <f t="shared" ca="1" si="5"/>
        <v>666.66666666666663</v>
      </c>
      <c r="K24" s="52">
        <f t="shared" ca="1" si="5"/>
        <v>666.66666666666663</v>
      </c>
      <c r="L24" s="52">
        <f t="shared" ca="1" si="5"/>
        <v>535.5765755400364</v>
      </c>
      <c r="M24" s="52">
        <f t="shared" ca="1" si="5"/>
        <v>260.95849734615985</v>
      </c>
      <c r="N24" s="52">
        <f ca="1">SUM(B24:M24)</f>
        <v>7098.6092177241944</v>
      </c>
    </row>
    <row r="25" spans="1:31" x14ac:dyDescent="0.25">
      <c r="A25" s="53" t="s">
        <v>156</v>
      </c>
      <c r="B25" s="54">
        <f ca="1">B21-B17</f>
        <v>-364.59252182866885</v>
      </c>
      <c r="C25" s="54">
        <f t="shared" ref="C25:M25" ca="1" si="6">C21-C17</f>
        <v>130.9150666336609</v>
      </c>
      <c r="D25" s="54">
        <f t="shared" ca="1" si="6"/>
        <v>801.74931518471146</v>
      </c>
      <c r="E25" s="54">
        <f t="shared" ca="1" si="6"/>
        <v>1422.6795017961513</v>
      </c>
      <c r="F25" s="54">
        <f t="shared" ca="1" si="6"/>
        <v>1877.115605653315</v>
      </c>
      <c r="G25" s="54">
        <f t="shared" ca="1" si="6"/>
        <v>2333.0974105440059</v>
      </c>
      <c r="H25" s="54">
        <f t="shared" ca="1" si="6"/>
        <v>2129.9039689651136</v>
      </c>
      <c r="I25" s="54">
        <f t="shared" ca="1" si="6"/>
        <v>1712.3571243452566</v>
      </c>
      <c r="J25" s="54">
        <f t="shared" ca="1" si="6"/>
        <v>1189.7246908888474</v>
      </c>
      <c r="K25" s="54">
        <f t="shared" ca="1" si="6"/>
        <v>303.84809826474816</v>
      </c>
      <c r="L25" s="54">
        <f t="shared" ca="1" si="6"/>
        <v>-131.09009112663023</v>
      </c>
      <c r="M25" s="54">
        <f t="shared" ca="1" si="6"/>
        <v>-405.70816932050678</v>
      </c>
      <c r="N25" s="54">
        <f ca="1">N21-N17</f>
        <v>11000</v>
      </c>
    </row>
    <row r="26" spans="1:31" x14ac:dyDescent="0.25">
      <c r="A26" s="53" t="s">
        <v>147</v>
      </c>
      <c r="B26" s="55">
        <f t="shared" ref="B26:N26" ca="1" si="7">IF((B21-B17)&lt;0,0, IF((B21-B17)&gt;B18,1,(B21-B17)/B18))</f>
        <v>0</v>
      </c>
      <c r="C26" s="55">
        <f t="shared" ca="1" si="7"/>
        <v>0.70694135982176887</v>
      </c>
      <c r="D26" s="55">
        <f t="shared" ca="1" si="7"/>
        <v>1</v>
      </c>
      <c r="E26" s="55">
        <f t="shared" ca="1" si="7"/>
        <v>1</v>
      </c>
      <c r="F26" s="55">
        <f t="shared" ca="1" si="7"/>
        <v>1</v>
      </c>
      <c r="G26" s="55">
        <f t="shared" ca="1" si="7"/>
        <v>1</v>
      </c>
      <c r="H26" s="55">
        <f t="shared" ca="1" si="7"/>
        <v>1</v>
      </c>
      <c r="I26" s="55">
        <f t="shared" ca="1" si="7"/>
        <v>1</v>
      </c>
      <c r="J26" s="55">
        <f t="shared" ca="1" si="7"/>
        <v>1</v>
      </c>
      <c r="K26" s="55">
        <f t="shared" ca="1" si="7"/>
        <v>1</v>
      </c>
      <c r="L26" s="55">
        <f t="shared" ca="1" si="7"/>
        <v>0</v>
      </c>
      <c r="M26" s="55">
        <f t="shared" ca="1" si="7"/>
        <v>0</v>
      </c>
      <c r="N26" s="55">
        <f t="shared" ca="1" si="7"/>
        <v>1</v>
      </c>
    </row>
    <row r="27" spans="1:31" x14ac:dyDescent="0.25">
      <c r="A27" s="53" t="s">
        <v>174</v>
      </c>
      <c r="B27" s="55">
        <f ca="1">IF(B21-B17&lt;0,0,IF(B21-B18-B17&lt;0,B21-B17,B18))</f>
        <v>0</v>
      </c>
      <c r="C27" s="54">
        <f t="shared" ref="C27:M27" ca="1" si="8">IF(C21-C17&lt;0,0,IF(C21-C18-C17&lt;0,C21-C17,C18))</f>
        <v>130.9150666336609</v>
      </c>
      <c r="D27" s="54">
        <f t="shared" ca="1" si="8"/>
        <v>185.18518518518519</v>
      </c>
      <c r="E27" s="54">
        <f t="shared" ca="1" si="8"/>
        <v>185.18518518518519</v>
      </c>
      <c r="F27" s="54">
        <f t="shared" ca="1" si="8"/>
        <v>185.18518518518519</v>
      </c>
      <c r="G27" s="54">
        <f t="shared" ca="1" si="8"/>
        <v>185.18518518518519</v>
      </c>
      <c r="H27" s="54">
        <f t="shared" ca="1" si="8"/>
        <v>185.18518518518519</v>
      </c>
      <c r="I27" s="54">
        <f t="shared" ca="1" si="8"/>
        <v>185.18518518518519</v>
      </c>
      <c r="J27" s="54">
        <f t="shared" ca="1" si="8"/>
        <v>185.18518518518519</v>
      </c>
      <c r="K27" s="54">
        <f t="shared" ca="1" si="8"/>
        <v>185.18518518518519</v>
      </c>
      <c r="L27" s="54">
        <f t="shared" ca="1" si="8"/>
        <v>0</v>
      </c>
      <c r="M27" s="54">
        <f t="shared" ca="1" si="8"/>
        <v>0</v>
      </c>
      <c r="N27" s="54">
        <f ca="1">SUM(B27:M27)</f>
        <v>1612.3965481151427</v>
      </c>
    </row>
    <row r="28" spans="1:31" x14ac:dyDescent="0.25">
      <c r="A28" s="56" t="s">
        <v>157</v>
      </c>
      <c r="B28" s="57">
        <f ca="1">IF((B21-B17-B18)&lt;0,0,B21-B17-B18)</f>
        <v>0</v>
      </c>
      <c r="C28" s="57">
        <f t="shared" ref="C28:M28" ca="1" si="9">IF((C21-C17-C18)&lt;0,0,C21-C17-C18)</f>
        <v>0</v>
      </c>
      <c r="D28" s="57">
        <f t="shared" ca="1" si="9"/>
        <v>616.56412999952624</v>
      </c>
      <c r="E28" s="57">
        <f t="shared" ca="1" si="9"/>
        <v>1237.4943166109661</v>
      </c>
      <c r="F28" s="57">
        <f t="shared" ca="1" si="9"/>
        <v>1691.9304204681298</v>
      </c>
      <c r="G28" s="57">
        <f t="shared" ca="1" si="9"/>
        <v>2147.9122253588207</v>
      </c>
      <c r="H28" s="57">
        <f t="shared" ca="1" si="9"/>
        <v>1944.7187837799283</v>
      </c>
      <c r="I28" s="57">
        <f t="shared" ca="1" si="9"/>
        <v>1527.1719391600714</v>
      </c>
      <c r="J28" s="57">
        <f t="shared" ca="1" si="9"/>
        <v>1004.5395057036621</v>
      </c>
      <c r="K28" s="57">
        <f t="shared" ca="1" si="9"/>
        <v>118.66291307956297</v>
      </c>
      <c r="L28" s="57">
        <f t="shared" ca="1" si="9"/>
        <v>0</v>
      </c>
      <c r="M28" s="57">
        <f t="shared" ca="1" si="9"/>
        <v>0</v>
      </c>
      <c r="N28" s="57">
        <f ca="1">N21-N17-N18</f>
        <v>8777.7777777777774</v>
      </c>
    </row>
    <row r="29" spans="1:31" x14ac:dyDescent="0.25">
      <c r="A29" s="56" t="s">
        <v>155</v>
      </c>
      <c r="B29" s="58">
        <f t="shared" ref="B29:N29" ca="1" si="10">IF((B21-B17-B18)&lt;0,0, IF((B21-B17-B18)&gt;B19,1,(B21-B17-B18)/B19))</f>
        <v>0</v>
      </c>
      <c r="C29" s="58">
        <f t="shared" ca="1" si="10"/>
        <v>0</v>
      </c>
      <c r="D29" s="58">
        <f t="shared" ca="1" si="10"/>
        <v>0.83849911354471851</v>
      </c>
      <c r="E29" s="58">
        <f t="shared" ca="1" si="10"/>
        <v>1</v>
      </c>
      <c r="F29" s="58">
        <f t="shared" ca="1" si="10"/>
        <v>1</v>
      </c>
      <c r="G29" s="58">
        <f t="shared" ca="1" si="10"/>
        <v>1</v>
      </c>
      <c r="H29" s="58">
        <f t="shared" ca="1" si="10"/>
        <v>1</v>
      </c>
      <c r="I29" s="58">
        <f t="shared" ca="1" si="10"/>
        <v>1</v>
      </c>
      <c r="J29" s="58">
        <f t="shared" ca="1" si="10"/>
        <v>1</v>
      </c>
      <c r="K29" s="58">
        <f t="shared" ca="1" si="10"/>
        <v>0.24724609289062036</v>
      </c>
      <c r="L29" s="58">
        <f t="shared" ca="1" si="10"/>
        <v>0</v>
      </c>
      <c r="M29" s="58">
        <f t="shared" ca="1" si="10"/>
        <v>0</v>
      </c>
      <c r="N29" s="58">
        <f t="shared" ca="1" si="10"/>
        <v>1</v>
      </c>
    </row>
    <row r="30" spans="1:31" x14ac:dyDescent="0.25">
      <c r="A30" s="56" t="s">
        <v>175</v>
      </c>
      <c r="B30" s="59">
        <f ca="1">IF((B21-B17-B18)&lt;0,0,IF((B21-B17-B18-B19)&lt;0,B21-B17-B18,B19))</f>
        <v>0</v>
      </c>
      <c r="C30" s="57">
        <f t="shared" ref="C30:M30" ca="1" si="11">IF((C21-C17-C18)&lt;0,0,IF((C21-C17-C18-C19)&lt;0,C21-C17-C18,C19))</f>
        <v>0</v>
      </c>
      <c r="D30" s="57">
        <f t="shared" ca="1" si="11"/>
        <v>616.56412999952624</v>
      </c>
      <c r="E30" s="57">
        <f t="shared" ca="1" si="11"/>
        <v>459.65158787916681</v>
      </c>
      <c r="F30" s="57">
        <f t="shared" ca="1" si="11"/>
        <v>237.93323323850879</v>
      </c>
      <c r="G30" s="57">
        <f t="shared" ca="1" si="11"/>
        <v>50.148117074749614</v>
      </c>
      <c r="H30" s="57">
        <f t="shared" ca="1" si="11"/>
        <v>12.112299811682419</v>
      </c>
      <c r="I30" s="57">
        <f t="shared" ca="1" si="11"/>
        <v>21.382204143692572</v>
      </c>
      <c r="J30" s="57">
        <f t="shared" ca="1" si="11"/>
        <v>181.02911078923077</v>
      </c>
      <c r="K30" s="57">
        <f t="shared" ca="1" si="11"/>
        <v>118.66291307956297</v>
      </c>
      <c r="L30" s="57">
        <f t="shared" ca="1" si="11"/>
        <v>0</v>
      </c>
      <c r="M30" s="57">
        <f t="shared" ca="1" si="11"/>
        <v>0</v>
      </c>
      <c r="N30" s="57">
        <f ca="1">SUM(B30:M30)</f>
        <v>1697.4835960161204</v>
      </c>
      <c r="R30" t="s">
        <v>132</v>
      </c>
    </row>
    <row r="31" spans="1:31" x14ac:dyDescent="0.25">
      <c r="A31" s="44" t="s">
        <v>158</v>
      </c>
      <c r="B31" s="49">
        <f ca="1">IF((B21-B17)&lt;0,0,IF((B21-B17-B18)&lt;0,B21-B17,B18))</f>
        <v>0</v>
      </c>
      <c r="C31" s="49">
        <f ca="1">IF((C21-C17)&lt;0,0,IF((C21-C17-C18)&lt;0,C21-C17,C18))</f>
        <v>130.9150666336609</v>
      </c>
      <c r="D31" s="49">
        <f t="shared" ref="D31:M31" ca="1" si="12">IF((D21-D17)&lt;0,0,IF((D21-D17-D18)&lt;0,D21-D17,D18))</f>
        <v>185.18518518518519</v>
      </c>
      <c r="E31" s="49">
        <f t="shared" ca="1" si="12"/>
        <v>185.18518518518519</v>
      </c>
      <c r="F31" s="49">
        <f t="shared" ca="1" si="12"/>
        <v>185.18518518518519</v>
      </c>
      <c r="G31" s="49">
        <f t="shared" ca="1" si="12"/>
        <v>185.18518518518519</v>
      </c>
      <c r="H31" s="49">
        <f t="shared" ca="1" si="12"/>
        <v>185.18518518518519</v>
      </c>
      <c r="I31" s="49">
        <f t="shared" ca="1" si="12"/>
        <v>185.18518518518519</v>
      </c>
      <c r="J31" s="49">
        <f t="shared" ca="1" si="12"/>
        <v>185.18518518518519</v>
      </c>
      <c r="K31" s="49">
        <f t="shared" ca="1" si="12"/>
        <v>185.18518518518519</v>
      </c>
      <c r="L31" s="49">
        <f t="shared" ca="1" si="12"/>
        <v>0</v>
      </c>
      <c r="M31" s="49">
        <f t="shared" ca="1" si="12"/>
        <v>0</v>
      </c>
      <c r="N31" s="49">
        <f t="shared" ref="N31:N32" ca="1" si="13">SUM(B31:M31)</f>
        <v>1612.3965481151427</v>
      </c>
      <c r="R31" t="s">
        <v>139</v>
      </c>
      <c r="V31" t="s">
        <v>133</v>
      </c>
      <c r="X31" t="s">
        <v>134</v>
      </c>
    </row>
    <row r="32" spans="1:31" x14ac:dyDescent="0.25">
      <c r="A32" s="44" t="s">
        <v>159</v>
      </c>
      <c r="B32">
        <f ca="1">IF((B21-B17-B18)&lt;0,0,IF((B21-B17-B18-B19)&lt;0,B21-B17-B18,B19))</f>
        <v>0</v>
      </c>
      <c r="C32" s="49">
        <f t="shared" ref="C32:M32" ca="1" si="14">IF((C21-C17-C18)&lt;0,0,IF((C21-C17-C18-C19)&lt;0,C21-C17-C18,C19))</f>
        <v>0</v>
      </c>
      <c r="D32" s="49">
        <f t="shared" ca="1" si="14"/>
        <v>616.56412999952624</v>
      </c>
      <c r="E32" s="49">
        <f t="shared" ca="1" si="14"/>
        <v>459.65158787916681</v>
      </c>
      <c r="F32" s="49">
        <f t="shared" ca="1" si="14"/>
        <v>237.93323323850879</v>
      </c>
      <c r="G32" s="49">
        <f t="shared" ca="1" si="14"/>
        <v>50.148117074749614</v>
      </c>
      <c r="H32" s="49">
        <f t="shared" ca="1" si="14"/>
        <v>12.112299811682419</v>
      </c>
      <c r="I32" s="49">
        <f t="shared" ca="1" si="14"/>
        <v>21.382204143692572</v>
      </c>
      <c r="J32" s="49">
        <f t="shared" ca="1" si="14"/>
        <v>181.02911078923077</v>
      </c>
      <c r="K32" s="49">
        <f t="shared" ca="1" si="14"/>
        <v>118.66291307956297</v>
      </c>
      <c r="L32" s="49">
        <f t="shared" ca="1" si="14"/>
        <v>0</v>
      </c>
      <c r="M32" s="49">
        <f t="shared" ca="1" si="14"/>
        <v>0</v>
      </c>
      <c r="N32" s="49">
        <f t="shared" ca="1" si="13"/>
        <v>1697.4835960161204</v>
      </c>
      <c r="R32" t="s">
        <v>140</v>
      </c>
      <c r="T32" t="s">
        <v>141</v>
      </c>
      <c r="V32" t="s">
        <v>135</v>
      </c>
      <c r="X32" t="s">
        <v>142</v>
      </c>
    </row>
    <row r="33" spans="1:24" x14ac:dyDescent="0.25">
      <c r="R33" t="s">
        <v>136</v>
      </c>
      <c r="T33" t="s">
        <v>137</v>
      </c>
      <c r="V33" t="s">
        <v>138</v>
      </c>
      <c r="X33" t="s">
        <v>138</v>
      </c>
    </row>
    <row r="34" spans="1:24" x14ac:dyDescent="0.25">
      <c r="A34" s="44" t="s">
        <v>165</v>
      </c>
      <c r="B34">
        <f ca="1">IF((B21-B17-B18-B19)&lt;0,0,(B21-B17-B18-B19)*0.9)</f>
        <v>0</v>
      </c>
      <c r="C34" s="49">
        <f t="shared" ref="C34:M34" ca="1" si="15">IF((C21-C17-C18-C19)&lt;0,0,(C21-C17-C18-C19)*0.9)</f>
        <v>0</v>
      </c>
      <c r="D34" s="49">
        <f t="shared" ca="1" si="15"/>
        <v>0</v>
      </c>
      <c r="E34" s="49">
        <f t="shared" ca="1" si="15"/>
        <v>700.05845585861937</v>
      </c>
      <c r="F34" s="49">
        <f t="shared" ca="1" si="15"/>
        <v>1308.597468506659</v>
      </c>
      <c r="G34" s="49">
        <f t="shared" ca="1" si="15"/>
        <v>1887.9876974556639</v>
      </c>
      <c r="H34" s="49">
        <f t="shared" ca="1" si="15"/>
        <v>1739.3458355714213</v>
      </c>
      <c r="I34" s="49">
        <f t="shared" ca="1" si="15"/>
        <v>1355.2107615147409</v>
      </c>
      <c r="J34" s="49">
        <f t="shared" ca="1" si="15"/>
        <v>741.15935542298826</v>
      </c>
      <c r="K34" s="49">
        <f t="shared" ca="1" si="15"/>
        <v>0</v>
      </c>
      <c r="L34" s="49">
        <f t="shared" ca="1" si="15"/>
        <v>0</v>
      </c>
      <c r="M34" s="49">
        <f t="shared" ca="1" si="15"/>
        <v>0</v>
      </c>
      <c r="N34" s="49">
        <f ca="1">SUM(B34:M34)</f>
        <v>7732.3595743300921</v>
      </c>
    </row>
    <row r="36" spans="1:24" x14ac:dyDescent="0.25">
      <c r="R36">
        <v>545.6</v>
      </c>
      <c r="T36">
        <v>31</v>
      </c>
      <c r="V36">
        <v>2.4000000000000004</v>
      </c>
      <c r="X36">
        <v>2.4000000000000004</v>
      </c>
    </row>
    <row r="37" spans="1:24" x14ac:dyDescent="0.25">
      <c r="A37" t="s">
        <v>167</v>
      </c>
      <c r="B37" s="49">
        <v>545.6</v>
      </c>
      <c r="C37" s="49">
        <v>476.66481678217605</v>
      </c>
      <c r="D37" s="49">
        <v>422.58009197071192</v>
      </c>
      <c r="E37" s="49">
        <v>264.15701645758111</v>
      </c>
      <c r="F37" s="49">
        <v>136.73776979296048</v>
      </c>
      <c r="G37" s="49">
        <v>28.819604536890456</v>
      </c>
      <c r="H37" s="49">
        <v>6.9608135054128146</v>
      </c>
      <c r="I37" s="49">
        <v>12.28813170850956</v>
      </c>
      <c r="J37" s="49">
        <v>104.03555879942496</v>
      </c>
      <c r="K37" s="49">
        <v>275.81568151032019</v>
      </c>
      <c r="L37" s="49">
        <v>404.4608688264945</v>
      </c>
      <c r="M37" s="49">
        <v>514.6</v>
      </c>
      <c r="N37" s="49">
        <f>SUM(B37:M37)</f>
        <v>3192.7203538904814</v>
      </c>
      <c r="R37">
        <v>476.66481678217605</v>
      </c>
      <c r="T37">
        <v>28.188136228899285</v>
      </c>
      <c r="V37">
        <v>3.1058864724950634</v>
      </c>
      <c r="X37">
        <v>3.0898782058004399</v>
      </c>
    </row>
    <row r="38" spans="1:24" x14ac:dyDescent="0.25">
      <c r="R38">
        <v>422.58009197071192</v>
      </c>
      <c r="T38">
        <v>31</v>
      </c>
      <c r="V38">
        <v>6.3683841299770352</v>
      </c>
      <c r="X38">
        <v>6.3683841299770352</v>
      </c>
    </row>
    <row r="39" spans="1:24" x14ac:dyDescent="0.25">
      <c r="A39" t="s">
        <v>176</v>
      </c>
      <c r="B39" s="46">
        <f ca="1">N24/C9</f>
        <v>0.88732615221552436</v>
      </c>
      <c r="R39">
        <v>264.15701645758111</v>
      </c>
      <c r="T39">
        <v>26.113289037775832</v>
      </c>
      <c r="V39">
        <v>10.899339582309647</v>
      </c>
      <c r="X39">
        <v>9.8841920649885182</v>
      </c>
    </row>
    <row r="40" spans="1:24" x14ac:dyDescent="0.25">
      <c r="A40" t="s">
        <v>160</v>
      </c>
      <c r="B40" s="46">
        <f ca="1">N31/N18</f>
        <v>0.72557844665181426</v>
      </c>
      <c r="R40">
        <v>136.73776979296048</v>
      </c>
      <c r="T40">
        <v>17.192719951946486</v>
      </c>
      <c r="V40">
        <v>14.740290162032281</v>
      </c>
      <c r="X40">
        <v>12.046763387344095</v>
      </c>
    </row>
    <row r="41" spans="1:24" x14ac:dyDescent="0.25">
      <c r="A41" t="s">
        <v>161</v>
      </c>
      <c r="B41" s="46">
        <f ca="1">N32/N19</f>
        <v>0.30554704728290155</v>
      </c>
    </row>
    <row r="42" spans="1:24" x14ac:dyDescent="0.25">
      <c r="A42" t="s">
        <v>177</v>
      </c>
      <c r="B42" s="46">
        <f ca="1">(N30+N24+N27)/C13</f>
        <v>0.65969298772323326</v>
      </c>
      <c r="C42" t="s">
        <v>178</v>
      </c>
      <c r="E42" s="46">
        <f ca="1">B42/2</f>
        <v>0.32984649386161663</v>
      </c>
    </row>
    <row r="43" spans="1:24" x14ac:dyDescent="0.25">
      <c r="B43" s="46"/>
      <c r="E43" s="46"/>
    </row>
    <row r="44" spans="1:24" x14ac:dyDescent="0.25">
      <c r="A44" t="s">
        <v>179</v>
      </c>
      <c r="B44" s="46"/>
      <c r="E44" s="46"/>
    </row>
    <row r="45" spans="1:24" x14ac:dyDescent="0.25">
      <c r="A45" s="44" t="s">
        <v>180</v>
      </c>
      <c r="B45" s="46">
        <f ca="1">B39/2*$J$52</f>
        <v>0.44366307610776218</v>
      </c>
      <c r="E45" s="46"/>
    </row>
    <row r="46" spans="1:24" x14ac:dyDescent="0.25">
      <c r="A46" s="53" t="s">
        <v>154</v>
      </c>
      <c r="B46" s="61">
        <f ca="1">B40/2*$J$52</f>
        <v>0.36278922332590713</v>
      </c>
      <c r="D46" t="s">
        <v>181</v>
      </c>
      <c r="E46" s="46"/>
    </row>
    <row r="47" spans="1:24" x14ac:dyDescent="0.25">
      <c r="A47" s="53" t="s">
        <v>115</v>
      </c>
      <c r="B47" s="61">
        <f ca="1">B41/2*$J$52</f>
        <v>0.15277352364145078</v>
      </c>
      <c r="D47" t="s">
        <v>181</v>
      </c>
      <c r="R47">
        <v>28.819604536890456</v>
      </c>
      <c r="T47">
        <v>4.5183272072766281</v>
      </c>
      <c r="V47">
        <v>18.740290162032281</v>
      </c>
      <c r="X47">
        <v>13.621620742632945</v>
      </c>
    </row>
    <row r="48" spans="1:24" x14ac:dyDescent="0.25">
      <c r="A48" s="44" t="s">
        <v>126</v>
      </c>
      <c r="B48" s="46">
        <f ca="1">B42/2*$J$52</f>
        <v>0.32984649386161663</v>
      </c>
      <c r="R48">
        <v>6.9608135054128146</v>
      </c>
      <c r="T48">
        <v>1.2264690044014397</v>
      </c>
      <c r="V48">
        <v>20.383615001611851</v>
      </c>
      <c r="X48">
        <v>14.324509237141351</v>
      </c>
    </row>
    <row r="49" spans="1:24" x14ac:dyDescent="0.25">
      <c r="B49" s="46"/>
      <c r="E49" t="s">
        <v>223</v>
      </c>
      <c r="R49">
        <v>12.28813170850956</v>
      </c>
      <c r="T49">
        <v>2.0404009932688001</v>
      </c>
      <c r="V49">
        <v>19.547764418492502</v>
      </c>
      <c r="X49">
        <v>13.977589822271403</v>
      </c>
    </row>
    <row r="50" spans="1:24" x14ac:dyDescent="0.25">
      <c r="A50" t="s">
        <v>166</v>
      </c>
      <c r="B50" s="47">
        <f ca="1">(C14-N34)/C14</f>
        <v>0.59303370661420574</v>
      </c>
      <c r="R50">
        <v>104.03555879942496</v>
      </c>
      <c r="T50">
        <v>14.103783770203613</v>
      </c>
      <c r="V50">
        <v>15.414957289261357</v>
      </c>
      <c r="X50">
        <v>12.623571057632358</v>
      </c>
    </row>
    <row r="51" spans="1:24" x14ac:dyDescent="0.25">
      <c r="E51" s="22" t="s">
        <v>168</v>
      </c>
      <c r="F51" s="34">
        <f>C13/1000</f>
        <v>15.777777777777777</v>
      </c>
      <c r="H51" t="s">
        <v>170</v>
      </c>
      <c r="J51" s="46">
        <f ca="1">(F51+F52)/2</f>
        <v>17.388888888888889</v>
      </c>
      <c r="R51">
        <v>275.81568151032019</v>
      </c>
      <c r="T51">
        <v>27.772371465791679</v>
      </c>
      <c r="V51">
        <v>10.8</v>
      </c>
      <c r="X51">
        <v>10.068702564703443</v>
      </c>
    </row>
    <row r="52" spans="1:24" x14ac:dyDescent="0.25">
      <c r="A52" t="s">
        <v>163</v>
      </c>
      <c r="B52" s="48">
        <f>C13/365</f>
        <v>43.226788432267881</v>
      </c>
      <c r="E52" s="22" t="s">
        <v>169</v>
      </c>
      <c r="F52" s="34">
        <f ca="1">C14/1000</f>
        <v>19</v>
      </c>
      <c r="H52" s="60" t="s">
        <v>171</v>
      </c>
      <c r="I52" s="60"/>
      <c r="J52" s="60">
        <f ca="1">IF((Eingaben!C18&gt;Simulation!J51*1.1),2,IF((Eingaben!C18&gt;Simulation!J51*0.9),1.8,IF((Eingaben!C18&gt;Simulation!J51*0.7),1.5,IF((Eingaben!C18&gt;Simulation!J51*0.5),1.25,IF((Eingaben!C18&gt;0),1.1,1)))))</f>
        <v>1</v>
      </c>
      <c r="R52">
        <v>404.4608688264945</v>
      </c>
      <c r="T52">
        <v>29.690420231995525</v>
      </c>
      <c r="V52">
        <v>6.4773949420011192</v>
      </c>
      <c r="X52">
        <v>6.3773949420011196</v>
      </c>
    </row>
    <row r="53" spans="1:24" x14ac:dyDescent="0.25">
      <c r="A53" t="s">
        <v>164</v>
      </c>
      <c r="B53" s="47">
        <f>Eingaben!C18/(B52/2)</f>
        <v>0</v>
      </c>
      <c r="R53">
        <v>514.6</v>
      </c>
      <c r="T53">
        <v>30.999999999999996</v>
      </c>
      <c r="V53">
        <v>3.4</v>
      </c>
      <c r="X53">
        <v>3.4000000000000004</v>
      </c>
    </row>
    <row r="55" spans="1:24" x14ac:dyDescent="0.25">
      <c r="G55" t="s">
        <v>224</v>
      </c>
      <c r="H55" s="5">
        <f>Eingaben!C18</f>
        <v>0</v>
      </c>
      <c r="I55">
        <f>H55*1.1</f>
        <v>0</v>
      </c>
      <c r="J55">
        <f>H55*1.3</f>
        <v>0</v>
      </c>
    </row>
    <row r="56" spans="1:24" x14ac:dyDescent="0.25">
      <c r="I56">
        <f>H55*0.9</f>
        <v>0</v>
      </c>
      <c r="J56">
        <f>H55*0.7</f>
        <v>0</v>
      </c>
    </row>
    <row r="57" spans="1:24" x14ac:dyDescent="0.25">
      <c r="I57">
        <v>2</v>
      </c>
      <c r="J57">
        <v>1.5</v>
      </c>
    </row>
  </sheetData>
  <pageMargins left="0.25" right="0.25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219FC-8274-4C24-BFC5-0F6393DFB047}">
  <dimension ref="A1:F30"/>
  <sheetViews>
    <sheetView topLeftCell="A24" workbookViewId="0">
      <selection activeCell="D3" sqref="D3"/>
    </sheetView>
  </sheetViews>
  <sheetFormatPr baseColWidth="10" defaultRowHeight="15" x14ac:dyDescent="0.25"/>
  <cols>
    <col min="1" max="1" width="1.85546875" style="37" customWidth="1"/>
    <col min="2" max="2" width="39.5703125" style="37" customWidth="1"/>
    <col min="3" max="4" width="11.42578125" style="37"/>
    <col min="5" max="5" width="58" style="37" customWidth="1"/>
    <col min="6" max="6" width="20" style="37" customWidth="1"/>
    <col min="7" max="16384" width="11.42578125" style="37"/>
  </cols>
  <sheetData>
    <row r="1" spans="1:6" x14ac:dyDescent="0.25">
      <c r="A1" s="42" t="s">
        <v>83</v>
      </c>
      <c r="D1" s="37" t="s">
        <v>84</v>
      </c>
    </row>
    <row r="3" spans="1:6" ht="180" x14ac:dyDescent="0.25">
      <c r="B3" s="38" t="s">
        <v>92</v>
      </c>
      <c r="C3" s="38" t="s">
        <v>86</v>
      </c>
      <c r="D3" s="39">
        <v>11419</v>
      </c>
      <c r="E3" s="38" t="s">
        <v>85</v>
      </c>
    </row>
    <row r="4" spans="1:6" ht="60" x14ac:dyDescent="0.25">
      <c r="B4" s="38" t="s">
        <v>89</v>
      </c>
      <c r="D4" s="39">
        <v>585</v>
      </c>
      <c r="E4" s="37" t="s">
        <v>90</v>
      </c>
      <c r="F4" s="38" t="s">
        <v>87</v>
      </c>
    </row>
    <row r="5" spans="1:6" x14ac:dyDescent="0.25">
      <c r="B5" s="37" t="s">
        <v>88</v>
      </c>
      <c r="D5" s="39">
        <v>915</v>
      </c>
    </row>
    <row r="6" spans="1:6" x14ac:dyDescent="0.25">
      <c r="D6" s="39"/>
    </row>
    <row r="7" spans="1:6" x14ac:dyDescent="0.25">
      <c r="B7" s="37" t="s">
        <v>91</v>
      </c>
      <c r="D7" s="39">
        <v>1000</v>
      </c>
    </row>
    <row r="8" spans="1:6" x14ac:dyDescent="0.25">
      <c r="D8" s="39"/>
    </row>
    <row r="9" spans="1:6" ht="15.75" thickBot="1" x14ac:dyDescent="0.3">
      <c r="A9" s="40"/>
      <c r="B9" s="40"/>
      <c r="C9" s="40"/>
      <c r="D9" s="41">
        <f>SUM(D3:D8)</f>
        <v>13919</v>
      </c>
      <c r="E9" s="40"/>
      <c r="F9" s="40"/>
    </row>
    <row r="10" spans="1:6" ht="15.75" thickTop="1" x14ac:dyDescent="0.25">
      <c r="D10" s="39"/>
    </row>
    <row r="11" spans="1:6" x14ac:dyDescent="0.25">
      <c r="D11" s="39"/>
    </row>
    <row r="12" spans="1:6" x14ac:dyDescent="0.25">
      <c r="D12" s="39"/>
    </row>
    <row r="20" spans="2:5" ht="210" x14ac:dyDescent="0.25">
      <c r="B20" s="38" t="s">
        <v>93</v>
      </c>
      <c r="C20" s="37" t="s">
        <v>94</v>
      </c>
      <c r="D20" s="39">
        <v>9759</v>
      </c>
      <c r="E20" s="38" t="s">
        <v>95</v>
      </c>
    </row>
    <row r="21" spans="2:5" x14ac:dyDescent="0.25">
      <c r="B21" s="37" t="s">
        <v>96</v>
      </c>
    </row>
    <row r="22" spans="2:5" x14ac:dyDescent="0.25">
      <c r="B22" s="43" t="s">
        <v>100</v>
      </c>
      <c r="C22" s="43">
        <f xml:space="preserve"> 10000/25</f>
        <v>400</v>
      </c>
      <c r="D22" s="37" t="s">
        <v>99</v>
      </c>
      <c r="E22" s="37" t="s">
        <v>103</v>
      </c>
    </row>
    <row r="23" spans="2:5" x14ac:dyDescent="0.25">
      <c r="B23" s="43" t="s">
        <v>101</v>
      </c>
      <c r="C23" s="43">
        <f xml:space="preserve"> 10000/25</f>
        <v>400</v>
      </c>
      <c r="D23" s="37" t="s">
        <v>99</v>
      </c>
      <c r="E23" s="37" t="s">
        <v>103</v>
      </c>
    </row>
    <row r="24" spans="2:5" x14ac:dyDescent="0.25">
      <c r="B24" s="43" t="s">
        <v>97</v>
      </c>
      <c r="E24" s="37" t="s">
        <v>103</v>
      </c>
    </row>
    <row r="25" spans="2:5" x14ac:dyDescent="0.25">
      <c r="B25" s="43" t="s">
        <v>98</v>
      </c>
      <c r="C25" s="43">
        <v>10</v>
      </c>
      <c r="D25" s="37" t="s">
        <v>102</v>
      </c>
      <c r="E25" s="37" t="s">
        <v>103</v>
      </c>
    </row>
    <row r="27" spans="2:5" x14ac:dyDescent="0.25">
      <c r="B27" s="42" t="s">
        <v>106</v>
      </c>
    </row>
    <row r="28" spans="2:5" x14ac:dyDescent="0.25">
      <c r="B28" s="37" t="s">
        <v>104</v>
      </c>
    </row>
    <row r="29" spans="2:5" x14ac:dyDescent="0.25">
      <c r="B29" s="37" t="s">
        <v>105</v>
      </c>
    </row>
    <row r="30" spans="2:5" x14ac:dyDescent="0.25">
      <c r="B30" s="37" t="s">
        <v>107</v>
      </c>
    </row>
  </sheetData>
  <pageMargins left="0.25" right="0.25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25CE8-0B7E-41C2-94FD-634F9BE55B2E}">
  <dimension ref="A1:B8"/>
  <sheetViews>
    <sheetView workbookViewId="0">
      <selection activeCell="B9" sqref="B9"/>
    </sheetView>
  </sheetViews>
  <sheetFormatPr baseColWidth="10" defaultRowHeight="15" x14ac:dyDescent="0.25"/>
  <sheetData>
    <row r="1" spans="1:2" x14ac:dyDescent="0.25">
      <c r="A1" t="s">
        <v>153</v>
      </c>
      <c r="B1">
        <v>950</v>
      </c>
    </row>
    <row r="2" spans="1:2" x14ac:dyDescent="0.25">
      <c r="A2" t="s">
        <v>183</v>
      </c>
      <c r="B2">
        <v>900</v>
      </c>
    </row>
    <row r="3" spans="1:2" x14ac:dyDescent="0.25">
      <c r="A3" t="s">
        <v>184</v>
      </c>
      <c r="B3">
        <v>900</v>
      </c>
    </row>
    <row r="4" spans="1:2" x14ac:dyDescent="0.25">
      <c r="A4" t="s">
        <v>185</v>
      </c>
      <c r="B4">
        <v>800</v>
      </c>
    </row>
    <row r="5" spans="1:2" x14ac:dyDescent="0.25">
      <c r="A5" t="s">
        <v>186</v>
      </c>
      <c r="B5">
        <v>800</v>
      </c>
    </row>
    <row r="6" spans="1:2" x14ac:dyDescent="0.25">
      <c r="A6" t="s">
        <v>187</v>
      </c>
      <c r="B6">
        <v>700</v>
      </c>
    </row>
    <row r="7" spans="1:2" x14ac:dyDescent="0.25">
      <c r="A7" t="s">
        <v>189</v>
      </c>
      <c r="B7">
        <v>700</v>
      </c>
    </row>
    <row r="8" spans="1:2" x14ac:dyDescent="0.25">
      <c r="A8" t="s">
        <v>188</v>
      </c>
      <c r="B8">
        <v>500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Eingaben</vt:lpstr>
      <vt:lpstr>Invest und Kosten</vt:lpstr>
      <vt:lpstr>Ergebnisse</vt:lpstr>
      <vt:lpstr>Simulation</vt:lpstr>
      <vt:lpstr>Wärmepumpe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hjw</dc:creator>
  <cp:lastModifiedBy>Fabian Berg</cp:lastModifiedBy>
  <cp:lastPrinted>2024-10-20T13:00:55Z</cp:lastPrinted>
  <dcterms:created xsi:type="dcterms:W3CDTF">2017-08-31T16:16:54Z</dcterms:created>
  <dcterms:modified xsi:type="dcterms:W3CDTF">2024-11-04T16:43:33Z</dcterms:modified>
</cp:coreProperties>
</file>